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g2\Desktop\"/>
    </mc:Choice>
  </mc:AlternateContent>
  <bookViews>
    <workbookView xWindow="0" yWindow="0" windowWidth="28800" windowHeight="12300"/>
  </bookViews>
  <sheets>
    <sheet name="NIOSH OEP Awards" sheetId="2" r:id="rId1"/>
    <sheet name="Acronym Glossary" sheetId="3" r:id="rId2"/>
  </sheets>
  <externalReferences>
    <externalReference r:id="rId3"/>
  </externalReferences>
  <definedNames>
    <definedName name="_1_qry_Active_Awards_Excluding_WTC__for_website" localSheetId="1">'[1]Active-Awards-SS'!#REF!</definedName>
    <definedName name="_1_qry_Active_Awards_Excluding_WTC__for_website">'NIOSH OEP Awards'!#REF!</definedName>
    <definedName name="_xlnm._FilterDatabase" localSheetId="0" hidden="1">'NIOSH OEP Awards'!$A$1:$J$173</definedName>
    <definedName name="a">#REF!</definedName>
    <definedName name="FY16_Annual_Report_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3" i="2" l="1"/>
  <c r="A173" i="2"/>
  <c r="C172" i="2"/>
  <c r="A172" i="2"/>
  <c r="C171" i="2"/>
  <c r="A171" i="2"/>
  <c r="C170" i="2"/>
  <c r="A170" i="2"/>
  <c r="C169" i="2"/>
  <c r="A169" i="2"/>
  <c r="C168" i="2"/>
  <c r="A168" i="2"/>
  <c r="C167" i="2"/>
  <c r="A167" i="2"/>
  <c r="C166" i="2"/>
  <c r="A166" i="2"/>
  <c r="C165" i="2"/>
  <c r="A165" i="2"/>
  <c r="C164" i="2"/>
  <c r="A164" i="2"/>
  <c r="C163" i="2"/>
  <c r="A163" i="2"/>
  <c r="C162" i="2"/>
  <c r="A162" i="2"/>
  <c r="C161" i="2"/>
  <c r="A161" i="2"/>
  <c r="C160" i="2"/>
  <c r="A160" i="2"/>
  <c r="C159" i="2"/>
  <c r="A159" i="2"/>
  <c r="C158" i="2"/>
  <c r="A158" i="2"/>
  <c r="C157" i="2"/>
  <c r="A157" i="2"/>
  <c r="C156" i="2"/>
  <c r="A156" i="2"/>
  <c r="C155" i="2"/>
  <c r="A155" i="2"/>
  <c r="C154" i="2"/>
  <c r="A154" i="2"/>
  <c r="C153" i="2"/>
  <c r="A153" i="2"/>
  <c r="C152" i="2"/>
  <c r="A152" i="2"/>
  <c r="C151" i="2"/>
  <c r="A151" i="2"/>
  <c r="C150" i="2"/>
  <c r="A150" i="2"/>
  <c r="C149" i="2"/>
  <c r="A149" i="2"/>
  <c r="C148" i="2"/>
  <c r="A148" i="2"/>
  <c r="C147" i="2"/>
  <c r="A147" i="2"/>
  <c r="C146" i="2"/>
  <c r="A146" i="2"/>
  <c r="C145" i="2"/>
  <c r="A145" i="2"/>
  <c r="C144" i="2"/>
  <c r="A144" i="2"/>
  <c r="C143" i="2"/>
  <c r="A143" i="2"/>
  <c r="C142" i="2"/>
  <c r="A142" i="2"/>
  <c r="C141" i="2"/>
  <c r="A141" i="2"/>
  <c r="C140" i="2"/>
  <c r="A140" i="2"/>
  <c r="C139" i="2"/>
  <c r="A139" i="2"/>
  <c r="C138" i="2"/>
  <c r="A138" i="2"/>
  <c r="C137" i="2"/>
  <c r="A137" i="2"/>
  <c r="C136" i="2"/>
  <c r="A136" i="2"/>
  <c r="C135" i="2"/>
  <c r="A135" i="2"/>
  <c r="C134" i="2"/>
  <c r="A134" i="2"/>
  <c r="C133" i="2"/>
  <c r="A133" i="2"/>
  <c r="C132" i="2"/>
  <c r="A132" i="2"/>
  <c r="C131" i="2"/>
  <c r="A131" i="2"/>
  <c r="C130" i="2"/>
  <c r="A130" i="2"/>
  <c r="C129" i="2"/>
  <c r="A129" i="2"/>
  <c r="C128" i="2"/>
  <c r="A128" i="2"/>
  <c r="C127" i="2"/>
  <c r="A127" i="2"/>
  <c r="C126" i="2"/>
  <c r="A126" i="2"/>
  <c r="C125" i="2"/>
  <c r="A125" i="2"/>
  <c r="C124" i="2"/>
  <c r="A124" i="2"/>
  <c r="C123" i="2"/>
  <c r="A123" i="2"/>
  <c r="C122" i="2"/>
  <c r="A122" i="2"/>
  <c r="C121" i="2"/>
  <c r="A121" i="2"/>
  <c r="C120" i="2"/>
  <c r="A120" i="2"/>
  <c r="C119" i="2"/>
  <c r="A119" i="2"/>
  <c r="C118" i="2"/>
  <c r="A118" i="2"/>
  <c r="C117" i="2"/>
  <c r="A117" i="2"/>
  <c r="C116" i="2"/>
  <c r="A116" i="2"/>
  <c r="C115" i="2"/>
  <c r="A115" i="2"/>
  <c r="C114" i="2"/>
  <c r="A114" i="2"/>
  <c r="C113" i="2"/>
  <c r="A113" i="2"/>
  <c r="C112" i="2"/>
  <c r="A112" i="2"/>
  <c r="C111" i="2"/>
  <c r="A111" i="2"/>
  <c r="C110" i="2"/>
  <c r="A110" i="2"/>
  <c r="C109" i="2"/>
  <c r="A109" i="2"/>
  <c r="C108" i="2"/>
  <c r="A108" i="2"/>
  <c r="C107" i="2"/>
  <c r="A107" i="2"/>
  <c r="C106" i="2"/>
  <c r="A106" i="2"/>
  <c r="C105" i="2"/>
  <c r="A105" i="2"/>
  <c r="C104" i="2"/>
  <c r="A104" i="2"/>
  <c r="C103" i="2"/>
  <c r="A103" i="2"/>
  <c r="C102" i="2"/>
  <c r="A102" i="2"/>
  <c r="C101" i="2"/>
  <c r="A101" i="2"/>
  <c r="C100" i="2"/>
  <c r="A100" i="2"/>
  <c r="C99" i="2"/>
  <c r="A99" i="2"/>
  <c r="C98" i="2"/>
  <c r="A98" i="2"/>
  <c r="C97" i="2"/>
  <c r="A97" i="2"/>
  <c r="C96" i="2"/>
  <c r="A96" i="2"/>
  <c r="C95" i="2"/>
  <c r="A95" i="2"/>
  <c r="C94" i="2"/>
  <c r="A94" i="2"/>
  <c r="C93" i="2"/>
  <c r="A93" i="2"/>
  <c r="C92" i="2"/>
  <c r="A92" i="2"/>
  <c r="C91" i="2"/>
  <c r="A91" i="2"/>
  <c r="C90" i="2"/>
  <c r="A90" i="2"/>
  <c r="C89" i="2"/>
  <c r="A89" i="2"/>
  <c r="C88" i="2"/>
  <c r="A88" i="2"/>
  <c r="C87" i="2"/>
  <c r="A87" i="2"/>
  <c r="C86" i="2"/>
  <c r="A86" i="2"/>
  <c r="C84" i="2"/>
  <c r="A84" i="2"/>
  <c r="C83" i="2"/>
  <c r="A83" i="2"/>
  <c r="C82" i="2"/>
  <c r="A82" i="2"/>
  <c r="C81" i="2"/>
  <c r="A81" i="2"/>
  <c r="C80" i="2"/>
  <c r="A80" i="2"/>
  <c r="C79" i="2"/>
  <c r="A79" i="2"/>
  <c r="C78" i="2"/>
  <c r="A78" i="2"/>
  <c r="C77" i="2"/>
  <c r="A77" i="2"/>
  <c r="C76" i="2"/>
  <c r="A76" i="2"/>
  <c r="C75" i="2"/>
  <c r="A75" i="2"/>
  <c r="C74" i="2"/>
  <c r="A74" i="2"/>
  <c r="C73" i="2"/>
  <c r="A73" i="2"/>
  <c r="C72" i="2"/>
  <c r="A72" i="2"/>
  <c r="C71" i="2"/>
  <c r="A71" i="2"/>
  <c r="C70" i="2"/>
  <c r="A70" i="2"/>
  <c r="C69" i="2"/>
  <c r="A69" i="2"/>
  <c r="C68" i="2"/>
  <c r="A68" i="2"/>
  <c r="C67" i="2"/>
  <c r="A67" i="2"/>
  <c r="C66" i="2"/>
  <c r="A66" i="2"/>
  <c r="C65" i="2"/>
  <c r="A65" i="2"/>
  <c r="C64" i="2"/>
  <c r="A64" i="2"/>
  <c r="C63" i="2"/>
  <c r="A63" i="2"/>
  <c r="C62" i="2"/>
  <c r="A62" i="2"/>
  <c r="C61" i="2"/>
  <c r="A61" i="2"/>
  <c r="C60" i="2"/>
  <c r="A60" i="2"/>
  <c r="C59" i="2"/>
  <c r="A59" i="2"/>
  <c r="C58" i="2"/>
  <c r="A58" i="2"/>
  <c r="C57" i="2"/>
  <c r="A57" i="2"/>
  <c r="C56" i="2"/>
  <c r="A56" i="2"/>
  <c r="C55" i="2"/>
  <c r="A55" i="2"/>
  <c r="C54" i="2"/>
  <c r="A54" i="2"/>
  <c r="C53" i="2"/>
  <c r="A53" i="2"/>
  <c r="C52" i="2"/>
  <c r="A52" i="2"/>
  <c r="C51" i="2"/>
  <c r="A51" i="2"/>
  <c r="C50" i="2"/>
  <c r="A50" i="2"/>
  <c r="C49" i="2"/>
  <c r="A49" i="2"/>
  <c r="C48" i="2"/>
  <c r="A48" i="2"/>
  <c r="C47" i="2"/>
  <c r="A47" i="2"/>
  <c r="C46" i="2"/>
  <c r="A46" i="2"/>
  <c r="C45" i="2"/>
  <c r="A45" i="2"/>
  <c r="C44" i="2"/>
  <c r="A44" i="2"/>
  <c r="C43" i="2"/>
  <c r="A43" i="2"/>
  <c r="C42" i="2"/>
  <c r="A42" i="2"/>
  <c r="C41" i="2"/>
  <c r="A41" i="2"/>
  <c r="C40" i="2"/>
  <c r="A40" i="2"/>
  <c r="C39" i="2"/>
  <c r="A39" i="2"/>
  <c r="C38" i="2"/>
  <c r="A38" i="2"/>
  <c r="C37" i="2"/>
  <c r="A37" i="2"/>
  <c r="C36" i="2"/>
  <c r="A36" i="2"/>
  <c r="C35" i="2"/>
  <c r="A35" i="2"/>
  <c r="C34" i="2"/>
  <c r="A34" i="2"/>
  <c r="C33" i="2"/>
  <c r="A33" i="2"/>
  <c r="C32" i="2"/>
  <c r="A32" i="2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20" i="2"/>
  <c r="A20" i="2"/>
  <c r="C19" i="2"/>
  <c r="A19" i="2"/>
  <c r="C18" i="2"/>
  <c r="A18" i="2"/>
  <c r="C17" i="2"/>
  <c r="A17" i="2"/>
  <c r="C16" i="2"/>
  <c r="A16" i="2"/>
  <c r="C15" i="2"/>
  <c r="A15" i="2"/>
  <c r="C14" i="2"/>
  <c r="A14" i="2"/>
  <c r="C13" i="2"/>
  <c r="A13" i="2"/>
  <c r="C12" i="2"/>
  <c r="A12" i="2"/>
  <c r="C11" i="2"/>
  <c r="A11" i="2"/>
  <c r="C10" i="2"/>
  <c r="A10" i="2"/>
  <c r="C9" i="2"/>
  <c r="A9" i="2"/>
  <c r="C8" i="2"/>
  <c r="A8" i="2"/>
  <c r="C7" i="2"/>
  <c r="A7" i="2"/>
  <c r="C6" i="2"/>
  <c r="A6" i="2"/>
  <c r="C5" i="2"/>
  <c r="A5" i="2"/>
  <c r="C4" i="2"/>
  <c r="A4" i="2"/>
  <c r="C3" i="2"/>
  <c r="A3" i="2"/>
  <c r="C2" i="2"/>
  <c r="A2" i="2"/>
</calcChain>
</file>

<file path=xl/sharedStrings.xml><?xml version="1.0" encoding="utf-8"?>
<sst xmlns="http://schemas.openxmlformats.org/spreadsheetml/2006/main" count="1252" uniqueCount="442">
  <si>
    <t>Grant Number
(Linked to Project Information)</t>
  </si>
  <si>
    <t>Serial Number</t>
  </si>
  <si>
    <t>Grant Title
(Linked to Project Abstract)</t>
  </si>
  <si>
    <t>Project Period Start Date</t>
  </si>
  <si>
    <t>Project Period End Date</t>
  </si>
  <si>
    <t>Principal Investigator</t>
  </si>
  <si>
    <t>Institution</t>
  </si>
  <si>
    <t>State</t>
  </si>
  <si>
    <t>Sectors</t>
  </si>
  <si>
    <t>Health and Safety Cross Sectors</t>
  </si>
  <si>
    <t>1-SEP-2018</t>
  </si>
  <si>
    <t>31-AUG-2022</t>
  </si>
  <si>
    <t>Christiani</t>
  </si>
  <si>
    <t>Harvard School of Public Health</t>
  </si>
  <si>
    <t>MA</t>
  </si>
  <si>
    <t>MNF</t>
  </si>
  <si>
    <t>RHP</t>
  </si>
  <si>
    <t>30-SEP-2016</t>
  </si>
  <si>
    <t>29-SEP-2021</t>
  </si>
  <si>
    <t>Levin</t>
  </si>
  <si>
    <t>University of Texas Health Center at Tyler</t>
  </si>
  <si>
    <t>TX</t>
  </si>
  <si>
    <t>AFF</t>
  </si>
  <si>
    <t>CRC MUS</t>
  </si>
  <si>
    <t>1-SEP-2016</t>
  </si>
  <si>
    <t>31-AUG-2021</t>
  </si>
  <si>
    <t>Sorensen</t>
  </si>
  <si>
    <t>Mary Imogene Bassett Hospital</t>
  </si>
  <si>
    <t>NY</t>
  </si>
  <si>
    <t>MUS TIP</t>
  </si>
  <si>
    <t>Fenske</t>
  </si>
  <si>
    <t>University of Washington</t>
  </si>
  <si>
    <t>WA</t>
  </si>
  <si>
    <t>CRC TIP</t>
  </si>
  <si>
    <t>Sanderson</t>
  </si>
  <si>
    <t>University of Kentucky</t>
  </si>
  <si>
    <t>KY</t>
  </si>
  <si>
    <t>TIP</t>
  </si>
  <si>
    <t>Anthony</t>
  </si>
  <si>
    <t>University of Iowa</t>
  </si>
  <si>
    <t>IA</t>
  </si>
  <si>
    <t>RHP TIP</t>
  </si>
  <si>
    <t>Pinkerton</t>
  </si>
  <si>
    <t>University of California-Davis</t>
  </si>
  <si>
    <t>CA</t>
  </si>
  <si>
    <t>MUS RHP</t>
  </si>
  <si>
    <t>15-SEP-2016</t>
  </si>
  <si>
    <t>14-SEP-2021</t>
  </si>
  <si>
    <t>Reynolds</t>
  </si>
  <si>
    <t>Colorado State University</t>
  </si>
  <si>
    <t>CO</t>
  </si>
  <si>
    <t>1-JUL-2014</t>
  </si>
  <si>
    <t>30-JUN-2018</t>
  </si>
  <si>
    <t>Quinn</t>
  </si>
  <si>
    <t>University of Massachusetts-Lowell</t>
  </si>
  <si>
    <t>HSA</t>
  </si>
  <si>
    <t>1-JUL-2016</t>
  </si>
  <si>
    <t>30-JUN-2021</t>
  </si>
  <si>
    <t>Finder</t>
  </si>
  <si>
    <t>University of Wisconsin-Stout</t>
  </si>
  <si>
    <t>WI</t>
  </si>
  <si>
    <t>All</t>
  </si>
  <si>
    <t>1-JUL-2017</t>
  </si>
  <si>
    <t>30-JUN-2022</t>
  </si>
  <si>
    <t>Krause</t>
  </si>
  <si>
    <t>University of California-Los Angeles</t>
  </si>
  <si>
    <t>1-JUL-2018</t>
  </si>
  <si>
    <t>30-JUN-2023</t>
  </si>
  <si>
    <t>Hegmann</t>
  </si>
  <si>
    <t>University of Utah</t>
  </si>
  <si>
    <t>UT</t>
  </si>
  <si>
    <t>Harvard University</t>
  </si>
  <si>
    <t>1-JUL-2015</t>
  </si>
  <si>
    <t>30-JUN-2020</t>
  </si>
  <si>
    <t>Symanski</t>
  </si>
  <si>
    <t>University of Texas Health Science Center Houston</t>
  </si>
  <si>
    <t>Lucchini</t>
  </si>
  <si>
    <t>Icahn School of Medicine at Mt. Sinai</t>
  </si>
  <si>
    <t>Kriebel</t>
  </si>
  <si>
    <t>Ramachandran</t>
  </si>
  <si>
    <t>Johns Hopkins University</t>
  </si>
  <si>
    <t>MD</t>
  </si>
  <si>
    <t>Balmes</t>
  </si>
  <si>
    <t>University of California Berkeley School of Public Health</t>
  </si>
  <si>
    <t>Martin</t>
  </si>
  <si>
    <t>West Virginia University</t>
  </si>
  <si>
    <t>WV</t>
  </si>
  <si>
    <t>Reponen</t>
  </si>
  <si>
    <t>University of Cincinnati</t>
  </si>
  <si>
    <t>OH</t>
  </si>
  <si>
    <t>Seixas</t>
  </si>
  <si>
    <t>Gerberich</t>
  </si>
  <si>
    <t>University of Minnesota</t>
  </si>
  <si>
    <t>MN</t>
  </si>
  <si>
    <t>Hammer</t>
  </si>
  <si>
    <t>Portland State University</t>
  </si>
  <si>
    <t>OR</t>
  </si>
  <si>
    <t>Lungu</t>
  </si>
  <si>
    <t>University of Alabama-Birmingham</t>
  </si>
  <si>
    <t>AL</t>
  </si>
  <si>
    <t>Wortham</t>
  </si>
  <si>
    <t>Murray State University</t>
  </si>
  <si>
    <t>30-JUN-2019</t>
  </si>
  <si>
    <t>Bernard</t>
  </si>
  <si>
    <t>University of South Florida</t>
  </si>
  <si>
    <t>FL</t>
  </si>
  <si>
    <t>Batterman</t>
  </si>
  <si>
    <t>University of Michigan</t>
  </si>
  <si>
    <t>MI</t>
  </si>
  <si>
    <t>Schmitz</t>
  </si>
  <si>
    <t>Iowa Department of Public Health</t>
  </si>
  <si>
    <t>Rosenman</t>
  </si>
  <si>
    <t>Michigan State University</t>
  </si>
  <si>
    <t>CRC RHP TIP</t>
  </si>
  <si>
    <t>Harrison</t>
  </si>
  <si>
    <t>Public Health Institute</t>
  </si>
  <si>
    <t>Cude</t>
  </si>
  <si>
    <t>Oregon State Department of Human Services</t>
  </si>
  <si>
    <t>Gelberg</t>
  </si>
  <si>
    <t>Health Research, Inc.</t>
  </si>
  <si>
    <t>1-JUL-2005</t>
  </si>
  <si>
    <t>Bunn</t>
  </si>
  <si>
    <t>University of Kentucky Research Foundation</t>
  </si>
  <si>
    <t>Lumia</t>
  </si>
  <si>
    <t>New Jersey Department of Health &amp; Senior Services</t>
  </si>
  <si>
    <t>NJ</t>
  </si>
  <si>
    <t>Bonauto</t>
  </si>
  <si>
    <t>Washington State Department of Labor &amp; Industries</t>
  </si>
  <si>
    <t>MUS RHP TIP</t>
  </si>
  <si>
    <t>Fiore</t>
  </si>
  <si>
    <t>Massachusetts Department of Public Health</t>
  </si>
  <si>
    <t>O'Shaughnessy</t>
  </si>
  <si>
    <t>Ames</t>
  </si>
  <si>
    <t>University of Toledo Health Science</t>
  </si>
  <si>
    <t>Redlich</t>
  </si>
  <si>
    <t>Yale University</t>
  </si>
  <si>
    <t>CT</t>
  </si>
  <si>
    <t>Magley</t>
  </si>
  <si>
    <t>University of Connecticut</t>
  </si>
  <si>
    <t>Nussbaum</t>
  </si>
  <si>
    <t>Virginia Polytechnic Institute &amp; State University</t>
  </si>
  <si>
    <t>VA</t>
  </si>
  <si>
    <t>Phillips</t>
  </si>
  <si>
    <t>University of Oklahoma</t>
  </si>
  <si>
    <t>OK</t>
  </si>
  <si>
    <t>Wells</t>
  </si>
  <si>
    <t>Purdue University</t>
  </si>
  <si>
    <t>IN</t>
  </si>
  <si>
    <t>Caporali-Filho</t>
  </si>
  <si>
    <t>University of Puerto Rico</t>
  </si>
  <si>
    <t>PR</t>
  </si>
  <si>
    <t>Ogutu</t>
  </si>
  <si>
    <t>Millersville University</t>
  </si>
  <si>
    <t>PA</t>
  </si>
  <si>
    <t>Kimbrough</t>
  </si>
  <si>
    <t>University of North Alabama</t>
  </si>
  <si>
    <t>McKenzie</t>
  </si>
  <si>
    <t>University of Pennsylvania</t>
  </si>
  <si>
    <t>Rando</t>
  </si>
  <si>
    <t>Tulane University</t>
  </si>
  <si>
    <t>LA</t>
  </si>
  <si>
    <t>Hart</t>
  </si>
  <si>
    <t>Montana Tech</t>
  </si>
  <si>
    <t>MT</t>
  </si>
  <si>
    <t>Dzugan</t>
  </si>
  <si>
    <t>Alaska Marine Safety Education Assn (AMSEA)</t>
  </si>
  <si>
    <t>AK</t>
  </si>
  <si>
    <t>Buchanan</t>
  </si>
  <si>
    <t>University of Illinois</t>
  </si>
  <si>
    <t>IL</t>
  </si>
  <si>
    <t>Nylander-French</t>
  </si>
  <si>
    <t>University of North Carolina-Chapel Hill</t>
  </si>
  <si>
    <t>NC</t>
  </si>
  <si>
    <t>1-SEP-2006</t>
  </si>
  <si>
    <t>31-AUG-2018</t>
  </si>
  <si>
    <t>Bernstein</t>
  </si>
  <si>
    <t>CON MNF</t>
  </si>
  <si>
    <t>Sommerich</t>
  </si>
  <si>
    <t>Ohio State University</t>
  </si>
  <si>
    <t>Cavuoto</t>
  </si>
  <si>
    <t>State University of New York</t>
  </si>
  <si>
    <t>Punnett</t>
  </si>
  <si>
    <t>PSS HSA</t>
  </si>
  <si>
    <t>CRC HWD</t>
  </si>
  <si>
    <t>CON HSA</t>
  </si>
  <si>
    <t>HWD</t>
  </si>
  <si>
    <t>Rohlman</t>
  </si>
  <si>
    <t>CON SRV</t>
  </si>
  <si>
    <t>30-SEP-2017</t>
  </si>
  <si>
    <t>29-SEP-2020</t>
  </si>
  <si>
    <t>Cherniack</t>
  </si>
  <si>
    <t>MUS HWD</t>
  </si>
  <si>
    <t>Becich</t>
  </si>
  <si>
    <t>University of Pittsburgh</t>
  </si>
  <si>
    <t>CRC</t>
  </si>
  <si>
    <t>Association of Occupational and Environmental Clinics</t>
  </si>
  <si>
    <t>Nessim</t>
  </si>
  <si>
    <t>Newman</t>
  </si>
  <si>
    <t>University of Colorado Health Sciences Center</t>
  </si>
  <si>
    <t>Harman</t>
  </si>
  <si>
    <t>International Association Fire Fighters</t>
  </si>
  <si>
    <t>DC</t>
  </si>
  <si>
    <t>O'Hara</t>
  </si>
  <si>
    <t>Meharry Medical College</t>
  </si>
  <si>
    <t>TN</t>
  </si>
  <si>
    <t>Benden</t>
  </si>
  <si>
    <t>Texas A&amp;M University Health Science Center</t>
  </si>
  <si>
    <t>30-SEP-2014</t>
  </si>
  <si>
    <t>29-SEP-2019</t>
  </si>
  <si>
    <t>Lee</t>
  </si>
  <si>
    <t>Marshfield Clinic Research Foundation</t>
  </si>
  <si>
    <t>Burgess</t>
  </si>
  <si>
    <t>University of Arizona</t>
  </si>
  <si>
    <t>AZ</t>
  </si>
  <si>
    <t>1-SEP-2014</t>
  </si>
  <si>
    <t>31-AUG-2019</t>
  </si>
  <si>
    <t>Cain</t>
  </si>
  <si>
    <t>The Center To Protect Workers' Rights, Inc.</t>
  </si>
  <si>
    <t>CON</t>
  </si>
  <si>
    <t>1-AUG-2016</t>
  </si>
  <si>
    <t>31-JUL-2019</t>
  </si>
  <si>
    <t>Mainelis</t>
  </si>
  <si>
    <t>Rutgers The State University of NJ New Brunswick</t>
  </si>
  <si>
    <t>1-AUG-2010</t>
  </si>
  <si>
    <t>Schernhammer</t>
  </si>
  <si>
    <t>Brigham And Women's Hospital</t>
  </si>
  <si>
    <t>Schwerha</t>
  </si>
  <si>
    <t>Ohio University</t>
  </si>
  <si>
    <t>Landsteiner</t>
  </si>
  <si>
    <t>Minnesota Department of Health</t>
  </si>
  <si>
    <t>1-SEP-2011</t>
  </si>
  <si>
    <t>31-AUG-2020</t>
  </si>
  <si>
    <t>Cullen</t>
  </si>
  <si>
    <t>Stanford University</t>
  </si>
  <si>
    <t>MIN</t>
  </si>
  <si>
    <t>Miller</t>
  </si>
  <si>
    <t>Colorado School of Mines</t>
  </si>
  <si>
    <t>Watkins</t>
  </si>
  <si>
    <t>Council of State And Territorial Epidemiologists</t>
  </si>
  <si>
    <t>GA</t>
  </si>
  <si>
    <t>1-SEP-2013</t>
  </si>
  <si>
    <t>Dennerlein</t>
  </si>
  <si>
    <t>Northeastern University</t>
  </si>
  <si>
    <t>TWU</t>
  </si>
  <si>
    <t>MUS</t>
  </si>
  <si>
    <t>Anger</t>
  </si>
  <si>
    <t>Oregon Health &amp; Science University</t>
  </si>
  <si>
    <t>TWU SRV</t>
  </si>
  <si>
    <t>Rautiainen</t>
  </si>
  <si>
    <t>University of Nebraska Medical Center</t>
  </si>
  <si>
    <t>NE</t>
  </si>
  <si>
    <t>Alexander</t>
  </si>
  <si>
    <t>IID</t>
  </si>
  <si>
    <t>1-SEP-2017</t>
  </si>
  <si>
    <t>Milovanov</t>
  </si>
  <si>
    <t>Physical Optics Corporation</t>
  </si>
  <si>
    <t>HLP</t>
  </si>
  <si>
    <t>Ivanov</t>
  </si>
  <si>
    <t>World Health Organization (WHO)</t>
  </si>
  <si>
    <t>Hering</t>
  </si>
  <si>
    <t>Aerosol Dynamics, Inc.</t>
  </si>
  <si>
    <t>1-JAN-2016</t>
  </si>
  <si>
    <t>Parker</t>
  </si>
  <si>
    <t>HealthPartners Institute</t>
  </si>
  <si>
    <t>MNF SRV</t>
  </si>
  <si>
    <t>Koehler</t>
  </si>
  <si>
    <t>Meischke</t>
  </si>
  <si>
    <t>PSS</t>
  </si>
  <si>
    <t>CON TWU</t>
  </si>
  <si>
    <t>Friese</t>
  </si>
  <si>
    <t>14-DEC-2017</t>
  </si>
  <si>
    <t>Zhang</t>
  </si>
  <si>
    <t>Texas A&amp;M Engineering Experiment Station</t>
  </si>
  <si>
    <t>SRV</t>
  </si>
  <si>
    <t>Golla</t>
  </si>
  <si>
    <t>Western Kentucky University</t>
  </si>
  <si>
    <t>1-SEP-2015</t>
  </si>
  <si>
    <t>Volckens</t>
  </si>
  <si>
    <t>30-SEP-2015</t>
  </si>
  <si>
    <t>Roll</t>
  </si>
  <si>
    <t>University of Southern California</t>
  </si>
  <si>
    <t>Reed</t>
  </si>
  <si>
    <t>Figueiro</t>
  </si>
  <si>
    <t>Rensselaer Polytechnic Institute</t>
  </si>
  <si>
    <t>1-JUN-2015</t>
  </si>
  <si>
    <t>31-MAY-2019</t>
  </si>
  <si>
    <t>Steenland</t>
  </si>
  <si>
    <t>Emory University</t>
  </si>
  <si>
    <t>Casanova</t>
  </si>
  <si>
    <t>Georgia State University</t>
  </si>
  <si>
    <t>IID RHP</t>
  </si>
  <si>
    <t>Mather</t>
  </si>
  <si>
    <t>University of Rhode Island</t>
  </si>
  <si>
    <t>RI</t>
  </si>
  <si>
    <t>Chandrasekhar</t>
  </si>
  <si>
    <t>Ashwin-Ushas Corporation, Inc.</t>
  </si>
  <si>
    <t>MIN MNF</t>
  </si>
  <si>
    <t>IID TIP</t>
  </si>
  <si>
    <t>Violanti</t>
  </si>
  <si>
    <t>31-JUL-2020</t>
  </si>
  <si>
    <t>Dana-Farber Cancer Institute</t>
  </si>
  <si>
    <t>Campen</t>
  </si>
  <si>
    <t>University of New Mexico Health Sciences Center</t>
  </si>
  <si>
    <t>NM</t>
  </si>
  <si>
    <t>CRC RHP</t>
  </si>
  <si>
    <t>McCurdy</t>
  </si>
  <si>
    <t>Keefe</t>
  </si>
  <si>
    <t>University of Idaho</t>
  </si>
  <si>
    <t>ID</t>
  </si>
  <si>
    <t>Davis</t>
  </si>
  <si>
    <t>31-MAY-2018</t>
  </si>
  <si>
    <t>California Public Health Institute</t>
  </si>
  <si>
    <t>Taylor</t>
  </si>
  <si>
    <t>University of Tennessee – Knoxville</t>
  </si>
  <si>
    <t>Safranek</t>
  </si>
  <si>
    <t>Nebraska State Department of Health &amp; Human Services</t>
  </si>
  <si>
    <t>Meiman</t>
  </si>
  <si>
    <t>Wisconsin Department of Health Services</t>
  </si>
  <si>
    <t>Reid</t>
  </si>
  <si>
    <t>Florida State Department of Health</t>
  </si>
  <si>
    <t>Brennan</t>
  </si>
  <si>
    <t>State of Montana Department of Labor and Industry</t>
  </si>
  <si>
    <t>Salter</t>
  </si>
  <si>
    <t>Tennessee Department of Health</t>
  </si>
  <si>
    <t>St. Louis</t>
  </si>
  <si>
    <t>Connecticut State Dept of Public Health</t>
  </si>
  <si>
    <t>Forst</t>
  </si>
  <si>
    <t>Bayakly</t>
  </si>
  <si>
    <t>Georgia Department of Public Health</t>
  </si>
  <si>
    <t>Dang</t>
  </si>
  <si>
    <t>North Carolina State Department of Health &amp; Human Services</t>
  </si>
  <si>
    <t>Armenti</t>
  </si>
  <si>
    <t>University of New Hampshire</t>
  </si>
  <si>
    <t>NH</t>
  </si>
  <si>
    <t>20-JUL-2015</t>
  </si>
  <si>
    <t>Reilly</t>
  </si>
  <si>
    <t>Louisiana State Department of Public Health</t>
  </si>
  <si>
    <t>Kapellusch</t>
  </si>
  <si>
    <t>University of Wisconsin-Milwaukee</t>
  </si>
  <si>
    <t>Van Dyke</t>
  </si>
  <si>
    <t>Colorado Department of Public Health and Environment</t>
  </si>
  <si>
    <t>Mississippi State Department of Health</t>
  </si>
  <si>
    <t>MS</t>
  </si>
  <si>
    <t>Cohen</t>
  </si>
  <si>
    <t>New York University School of Medicine</t>
  </si>
  <si>
    <t>29-SEP-2018</t>
  </si>
  <si>
    <t>Rauscher</t>
  </si>
  <si>
    <t>Beschorner</t>
  </si>
  <si>
    <t>MNF WRT</t>
  </si>
  <si>
    <t>Wisnewski</t>
  </si>
  <si>
    <t>Sears</t>
  </si>
  <si>
    <t>Sessions</t>
  </si>
  <si>
    <t>Oregon State University</t>
  </si>
  <si>
    <t>Smith</t>
  </si>
  <si>
    <t>Battelle Pacific Northwest Laboratories</t>
  </si>
  <si>
    <t>Radwin</t>
  </si>
  <si>
    <t>University of Wisconsin-Madison</t>
  </si>
  <si>
    <t>Brigham and Women's Hospital</t>
  </si>
  <si>
    <t>WRT</t>
  </si>
  <si>
    <t>Evanoff</t>
  </si>
  <si>
    <t>Washington University</t>
  </si>
  <si>
    <t>MO</t>
  </si>
  <si>
    <t>Fan</t>
  </si>
  <si>
    <t>University of Michigan At Ann Arbor</t>
  </si>
  <si>
    <t>15-SEP-2018</t>
  </si>
  <si>
    <t>Eisen</t>
  </si>
  <si>
    <t>Applebaum</t>
  </si>
  <si>
    <t>George Washington University</t>
  </si>
  <si>
    <t>31-JUL-2021</t>
  </si>
  <si>
    <t>Al-Tarawneh</t>
  </si>
  <si>
    <t>Ohio State Bureau / Workers' Compensation</t>
  </si>
  <si>
    <t>Parkins</t>
  </si>
  <si>
    <t>Red Tail Hawk Corporation</t>
  </si>
  <si>
    <t>Mitchell</t>
  </si>
  <si>
    <t>Maryland State Department of Health/Mental Hygiene</t>
  </si>
  <si>
    <t>Schall</t>
  </si>
  <si>
    <t>Auburn University</t>
  </si>
  <si>
    <t>Hessels</t>
  </si>
  <si>
    <t>Columbia University</t>
  </si>
  <si>
    <t>IID HWD</t>
  </si>
  <si>
    <t>Huynh</t>
  </si>
  <si>
    <t>Drexel University</t>
  </si>
  <si>
    <t>Gallagher</t>
  </si>
  <si>
    <t>SC</t>
  </si>
  <si>
    <t>University of Colorado, Denver</t>
  </si>
  <si>
    <t>Morris</t>
  </si>
  <si>
    <t>University of Florida</t>
  </si>
  <si>
    <t>Conroy</t>
  </si>
  <si>
    <t>University of Illinois-Chicago</t>
  </si>
  <si>
    <t>TIP HWD</t>
  </si>
  <si>
    <t>Richardson</t>
  </si>
  <si>
    <t>Yalin</t>
  </si>
  <si>
    <t>Patel</t>
  </si>
  <si>
    <t>Texas Department of State Health Services</t>
  </si>
  <si>
    <t>Landen</t>
  </si>
  <si>
    <t>New Mexico Department of Health</t>
  </si>
  <si>
    <t>Simpson</t>
  </si>
  <si>
    <t>Semmens</t>
  </si>
  <si>
    <t>University of Montana</t>
  </si>
  <si>
    <t>30-SEP-2018</t>
  </si>
  <si>
    <t>Liebler</t>
  </si>
  <si>
    <t>Boston University</t>
  </si>
  <si>
    <t>Zablotska</t>
  </si>
  <si>
    <t>University of California-San Francisco</t>
  </si>
  <si>
    <t>29-SEP-2022</t>
  </si>
  <si>
    <t>Boden</t>
  </si>
  <si>
    <t>Jetelina</t>
  </si>
  <si>
    <t>Meyer</t>
  </si>
  <si>
    <t>CON MNF HSA</t>
  </si>
  <si>
    <t>Brammer</t>
  </si>
  <si>
    <t>AFF CON MNF TWU</t>
  </si>
  <si>
    <t>Dantas</t>
  </si>
  <si>
    <t>Pompeii</t>
  </si>
  <si>
    <t>31-MAR-2019</t>
  </si>
  <si>
    <t>Norris</t>
  </si>
  <si>
    <t>Creare Incorporated</t>
  </si>
  <si>
    <t>Sector Program Names</t>
  </si>
  <si>
    <t>Sector Program Acronyms</t>
  </si>
  <si>
    <t>Health &amp; Safety Cross-Sector Program Names</t>
  </si>
  <si>
    <t>Health &amp; Safety Cross-Sector Program Acronyms</t>
  </si>
  <si>
    <t>Agriculture, Forestry &amp; Fishing</t>
  </si>
  <si>
    <t>Cancer, Reproductive, Cardiovascular Disease</t>
  </si>
  <si>
    <t>Construction</t>
  </si>
  <si>
    <t>Hearing Loss Prevention</t>
  </si>
  <si>
    <t>Healthcare &amp; Social Assistance</t>
  </si>
  <si>
    <t>Healthy Work Design and Well-Being</t>
  </si>
  <si>
    <t>Manufacturing</t>
  </si>
  <si>
    <t>MFN</t>
  </si>
  <si>
    <t>Musculoskeletal Health</t>
  </si>
  <si>
    <t>Mining</t>
  </si>
  <si>
    <t>Respiratory Health</t>
  </si>
  <si>
    <t>Oil &amp; Gas Extraction</t>
  </si>
  <si>
    <t>OGE</t>
  </si>
  <si>
    <t>Traumatic Injury Prevention</t>
  </si>
  <si>
    <t>Public Safety</t>
  </si>
  <si>
    <t>Immune, Infectious and Dermal Disease Prevention</t>
  </si>
  <si>
    <t>Services</t>
  </si>
  <si>
    <t>Wholesale &amp; Retail Trade</t>
  </si>
  <si>
    <t>Transportation, Warehousing &amp; Utilities</t>
  </si>
  <si>
    <t>5NE11OH010461-02</t>
  </si>
  <si>
    <t>Cooperative Agreement on Global Occupational Health with the World Health Organization (WHO)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</si>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</sst>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2" applyFont="1"/>
    <xf numFmtId="0" fontId="3" fillId="0" borderId="0" xfId="0" applyFont="1" applyAlignment="1">
      <alignment horizontal="center"/>
    </xf>
    <xf numFmtId="0" fontId="5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c.gov\project\NIOSH_OEP_Share\OEP\Program\OEP%20Annual%20Reports\FY2018\Investment,%20Success%20Rate%20and%20Training%20Data\FY18%20Annual%20report%20Query%20NORA%20Data%20for%20OEP%20Annual%20Report%20Version%20B%2012-1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Table of Contents"/>
      <sheetName val="FY18 Data from NEAT"/>
      <sheetName val="PivotTable"/>
      <sheetName val="FY18 Summary Table"/>
      <sheetName val="FY18 New Chart for Website"/>
      <sheetName val="FY18 Pie Chart"/>
      <sheetName val="FY18 Inv-Init New v Non-Com"/>
      <sheetName val="FY18 Center Graph"/>
      <sheetName val="FY18 CoopAg Graphs"/>
      <sheetName val="FY18 Sector"/>
      <sheetName val="FY 18 App Count by Type"/>
      <sheetName val="List of all FOAs by Type"/>
      <sheetName val="FY18 PivotTable for State Funds"/>
      <sheetName val="FY18 Success Rates "/>
      <sheetName val="FY18 R01"/>
      <sheetName val="FY18 R03"/>
      <sheetName val="FY18 R21"/>
      <sheetName val="QVR-Search"/>
      <sheetName val="QVR-Download"/>
      <sheetName val="Status_Codes"/>
      <sheetName val="Active-Awards-SS"/>
      <sheetName val="NIH Exporter Results"/>
      <sheetName val="Acronym 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73"/>
  <sheetViews>
    <sheetView tabSelected="1" view="pageLayout" zoomScaleNormal="80" workbookViewId="0">
      <selection activeCell="D3" sqref="D3"/>
    </sheetView>
  </sheetViews>
  <sheetFormatPr defaultRowHeight="12.75" x14ac:dyDescent="0.2"/>
  <cols>
    <col min="1" max="1" width="19.140625" style="7" customWidth="1"/>
    <col min="2" max="2" width="0" style="8" hidden="1" customWidth="1"/>
    <col min="3" max="3" width="31.85546875" style="9" customWidth="1"/>
    <col min="4" max="5" width="11.42578125" style="8" customWidth="1"/>
    <col min="6" max="6" width="10.42578125" style="3" customWidth="1"/>
    <col min="7" max="7" width="24.140625" style="3" customWidth="1"/>
    <col min="8" max="8" width="7.28515625" style="10" customWidth="1"/>
    <col min="9" max="9" width="9.28515625" style="10" customWidth="1"/>
    <col min="10" max="10" width="10.7109375" style="10" customWidth="1"/>
    <col min="11" max="16384" width="9.140625" style="3"/>
  </cols>
  <sheetData>
    <row r="1" spans="1:10" ht="44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5.5" x14ac:dyDescent="0.2">
      <c r="A2" s="4" t="str">
        <f>HYPERLINK("https://projectreporter.nih.gov/project_info_details.cfm?aid=9523523","2R01OH002421-23A1")</f>
        <v>2R01OH002421-23A1</v>
      </c>
      <c r="B2" s="5">
        <v>2421</v>
      </c>
      <c r="C2" s="4" t="str">
        <f>HYPERLINK("https://projectreporter.nih.gov/project_info_description.cfm?aid=9523523","Lung Disease in Chinese Textile Workers")</f>
        <v>Lung Disease in Chinese Textile Workers</v>
      </c>
      <c r="D2" s="5" t="s">
        <v>10</v>
      </c>
      <c r="E2" s="5" t="s">
        <v>11</v>
      </c>
      <c r="F2" s="6" t="s">
        <v>12</v>
      </c>
      <c r="G2" s="6" t="s">
        <v>13</v>
      </c>
      <c r="H2" s="5" t="s">
        <v>14</v>
      </c>
      <c r="I2" s="5" t="s">
        <v>15</v>
      </c>
      <c r="J2" s="5" t="s">
        <v>16</v>
      </c>
    </row>
    <row r="3" spans="1:10" ht="38.25" x14ac:dyDescent="0.2">
      <c r="A3" s="4" t="str">
        <f>HYPERLINK("https://projectreporter.nih.gov/project_info_details.cfm?aid=9540731","5U54OH007541-18")</f>
        <v>5U54OH007541-18</v>
      </c>
      <c r="B3" s="5">
        <v>7541</v>
      </c>
      <c r="C3" s="4" t="str">
        <f>HYPERLINK("https://projectreporter.nih.gov/project_info_description.cfm?aid=9540731","Southwest Center for Agricultural Health, Injury Prevention, and Education")</f>
        <v>Southwest Center for Agricultural Health, Injury Prevention, and Education</v>
      </c>
      <c r="D3" s="5" t="s">
        <v>17</v>
      </c>
      <c r="E3" s="5" t="s">
        <v>18</v>
      </c>
      <c r="F3" s="6" t="s">
        <v>19</v>
      </c>
      <c r="G3" s="6" t="s">
        <v>20</v>
      </c>
      <c r="H3" s="5" t="s">
        <v>21</v>
      </c>
      <c r="I3" s="5" t="s">
        <v>22</v>
      </c>
      <c r="J3" s="5" t="s">
        <v>23</v>
      </c>
    </row>
    <row r="4" spans="1:10" ht="25.5" x14ac:dyDescent="0.2">
      <c r="A4" s="4" t="str">
        <f>HYPERLINK("https://projectreporter.nih.gov/project_info_details.cfm?aid=9540732","5U54OH007542-18")</f>
        <v>5U54OH007542-18</v>
      </c>
      <c r="B4" s="5">
        <v>7542</v>
      </c>
      <c r="C4" s="4" t="str">
        <f>HYPERLINK("https://projectreporter.nih.gov/project_info_description.cfm?aid=9540732","The Northeast Center for Agricultural Health-Renewal")</f>
        <v>The Northeast Center for Agricultural Health-Renewal</v>
      </c>
      <c r="D4" s="5" t="s">
        <v>24</v>
      </c>
      <c r="E4" s="5" t="s">
        <v>25</v>
      </c>
      <c r="F4" s="6" t="s">
        <v>26</v>
      </c>
      <c r="G4" s="6" t="s">
        <v>27</v>
      </c>
      <c r="H4" s="5" t="s">
        <v>28</v>
      </c>
      <c r="I4" s="5" t="s">
        <v>22</v>
      </c>
      <c r="J4" s="5" t="s">
        <v>29</v>
      </c>
    </row>
    <row r="5" spans="1:10" ht="38.25" x14ac:dyDescent="0.2">
      <c r="A5" s="4" t="str">
        <f>HYPERLINK("https://projectreporter.nih.gov/project_info_details.cfm?aid=9544710","5U54OH007544-18")</f>
        <v>5U54OH007544-18</v>
      </c>
      <c r="B5" s="5">
        <v>7544</v>
      </c>
      <c r="C5" s="4" t="str">
        <f>HYPERLINK("https://projectreporter.nih.gov/project_info_description.cfm?aid=9544710","Pacific Northwest Agricultural Safety and Health Center (PNASH): Pilot / Feasibility")</f>
        <v>Pacific Northwest Agricultural Safety and Health Center (PNASH): Pilot / Feasibility</v>
      </c>
      <c r="D5" s="5" t="s">
        <v>17</v>
      </c>
      <c r="E5" s="5" t="s">
        <v>18</v>
      </c>
      <c r="F5" s="6" t="s">
        <v>30</v>
      </c>
      <c r="G5" s="6" t="s">
        <v>31</v>
      </c>
      <c r="H5" s="5" t="s">
        <v>32</v>
      </c>
      <c r="I5" s="5" t="s">
        <v>22</v>
      </c>
      <c r="J5" s="5" t="s">
        <v>33</v>
      </c>
    </row>
    <row r="6" spans="1:10" ht="51" x14ac:dyDescent="0.2">
      <c r="A6" s="4" t="str">
        <f>HYPERLINK("https://projectreporter.nih.gov/project_info_details.cfm?aid=9540733","5U54OH007547-18")</f>
        <v>5U54OH007547-18</v>
      </c>
      <c r="B6" s="5">
        <v>7547</v>
      </c>
      <c r="C6" s="4" t="str">
        <f>HYPERLINK("https://projectreporter.nih.gov/project_info_description.cfm?aid=9540733","Southeast Center for Agricultural Health and Injury Prevention: Enteric bacteria, antibiotic resistance and farm worker health on livestock farms")</f>
        <v>Southeast Center for Agricultural Health and Injury Prevention: Enteric bacteria, antibiotic resistance and farm worker health on livestock farms</v>
      </c>
      <c r="D6" s="5" t="s">
        <v>17</v>
      </c>
      <c r="E6" s="5" t="s">
        <v>18</v>
      </c>
      <c r="F6" s="6" t="s">
        <v>34</v>
      </c>
      <c r="G6" s="6" t="s">
        <v>35</v>
      </c>
      <c r="H6" s="5" t="s">
        <v>36</v>
      </c>
      <c r="I6" s="5" t="s">
        <v>22</v>
      </c>
      <c r="J6" s="5" t="s">
        <v>37</v>
      </c>
    </row>
    <row r="7" spans="1:10" ht="25.5" x14ac:dyDescent="0.2">
      <c r="A7" s="4" t="str">
        <f>HYPERLINK("https://projectreporter.nih.gov/project_info_details.cfm?aid=9540734","5U54OH007548-18")</f>
        <v>5U54OH007548-18</v>
      </c>
      <c r="B7" s="5">
        <v>7548</v>
      </c>
      <c r="C7" s="4" t="str">
        <f>HYPERLINK("https://projectreporter.nih.gov/project_info_description.cfm?aid=9540734","Great Plains Center for Agricultural Health (GPCAH)")</f>
        <v>Great Plains Center for Agricultural Health (GPCAH)</v>
      </c>
      <c r="D7" s="5" t="s">
        <v>17</v>
      </c>
      <c r="E7" s="5" t="s">
        <v>18</v>
      </c>
      <c r="F7" s="6" t="s">
        <v>38</v>
      </c>
      <c r="G7" s="6" t="s">
        <v>39</v>
      </c>
      <c r="H7" s="5" t="s">
        <v>40</v>
      </c>
      <c r="I7" s="5" t="s">
        <v>22</v>
      </c>
      <c r="J7" s="5" t="s">
        <v>41</v>
      </c>
    </row>
    <row r="8" spans="1:10" ht="38.25" x14ac:dyDescent="0.2">
      <c r="A8" s="4" t="str">
        <f>HYPERLINK("https://projectreporter.nih.gov/project_info_details.cfm?aid=9540735","5U54OH007550-18")</f>
        <v>5U54OH007550-18</v>
      </c>
      <c r="B8" s="5">
        <v>7550</v>
      </c>
      <c r="C8" s="4" t="str">
        <f>HYPERLINK("https://projectreporter.nih.gov/project_info_description.cfm?aid=9540735","Reducing occupational exposure to zoonotic pathogens in California dairy farm workers")</f>
        <v>Reducing occupational exposure to zoonotic pathogens in California dairy farm workers</v>
      </c>
      <c r="D8" s="5" t="s">
        <v>17</v>
      </c>
      <c r="E8" s="5" t="s">
        <v>18</v>
      </c>
      <c r="F8" s="6" t="s">
        <v>42</v>
      </c>
      <c r="G8" s="6" t="s">
        <v>43</v>
      </c>
      <c r="H8" s="5" t="s">
        <v>44</v>
      </c>
      <c r="I8" s="5" t="s">
        <v>22</v>
      </c>
      <c r="J8" s="5" t="s">
        <v>45</v>
      </c>
    </row>
    <row r="9" spans="1:10" ht="38.25" x14ac:dyDescent="0.2">
      <c r="A9" s="4" t="str">
        <f>HYPERLINK("https://projectreporter.nih.gov/project_info_details.cfm?aid=9540736","5U54OH008085-15")</f>
        <v>5U54OH008085-15</v>
      </c>
      <c r="B9" s="5">
        <v>8085</v>
      </c>
      <c r="C9" s="4" t="str">
        <f>HYPERLINK("https://projectreporter.nih.gov/project_info_description.cfm?aid=9540736","High Plains Intermountain Center for Agricultural Health and Safety (HICAHS)")</f>
        <v>High Plains Intermountain Center for Agricultural Health and Safety (HICAHS)</v>
      </c>
      <c r="D9" s="5" t="s">
        <v>46</v>
      </c>
      <c r="E9" s="5" t="s">
        <v>47</v>
      </c>
      <c r="F9" s="6" t="s">
        <v>48</v>
      </c>
      <c r="G9" s="6" t="s">
        <v>49</v>
      </c>
      <c r="H9" s="5" t="s">
        <v>50</v>
      </c>
      <c r="I9" s="5" t="s">
        <v>22</v>
      </c>
      <c r="J9" s="5" t="s">
        <v>29</v>
      </c>
    </row>
    <row r="10" spans="1:10" ht="38.25" x14ac:dyDescent="0.2">
      <c r="A10" s="4" t="str">
        <f>HYPERLINK("https://projectreporter.nih.gov/project_info_details.cfm?aid=9293131","5R01OH008229-12")</f>
        <v>5R01OH008229-12</v>
      </c>
      <c r="B10" s="5">
        <v>8229</v>
      </c>
      <c r="C10" s="4" t="str">
        <f>HYPERLINK("https://projectreporter.nih.gov/project_info_description.cfm?aid=9293131","Homecare Work in Social Assistance and Healthcare: Safe Cleaning and Disinfection")</f>
        <v>Homecare Work in Social Assistance and Healthcare: Safe Cleaning and Disinfection</v>
      </c>
      <c r="D10" s="5" t="s">
        <v>51</v>
      </c>
      <c r="E10" s="5" t="s">
        <v>52</v>
      </c>
      <c r="F10" s="6" t="s">
        <v>53</v>
      </c>
      <c r="G10" s="6" t="s">
        <v>54</v>
      </c>
      <c r="H10" s="5" t="s">
        <v>14</v>
      </c>
      <c r="I10" s="5" t="s">
        <v>55</v>
      </c>
      <c r="J10" s="5" t="s">
        <v>16</v>
      </c>
    </row>
    <row r="11" spans="1:10" ht="25.5" x14ac:dyDescent="0.2">
      <c r="A11" s="4" t="str">
        <f>HYPERLINK("https://projectreporter.nih.gov/project_info_details.cfm?aid=9518448","5T03OH008402-13")</f>
        <v>5T03OH008402-13</v>
      </c>
      <c r="B11" s="5">
        <v>8402</v>
      </c>
      <c r="C11" s="4" t="str">
        <f>HYPERLINK("https://projectreporter.nih.gov/project_info_description.cfm?aid=9518448","M.S. Curricular Enhancement")</f>
        <v>M.S. Curricular Enhancement</v>
      </c>
      <c r="D11" s="5" t="s">
        <v>56</v>
      </c>
      <c r="E11" s="5" t="s">
        <v>57</v>
      </c>
      <c r="F11" s="6" t="s">
        <v>58</v>
      </c>
      <c r="G11" s="6" t="s">
        <v>59</v>
      </c>
      <c r="H11" s="5" t="s">
        <v>60</v>
      </c>
      <c r="I11" s="5" t="s">
        <v>61</v>
      </c>
      <c r="J11" s="5" t="s">
        <v>61</v>
      </c>
    </row>
    <row r="12" spans="1:10" ht="25.5" x14ac:dyDescent="0.2">
      <c r="A12" s="4" t="str">
        <f>HYPERLINK("https://projectreporter.nih.gov/project_info_details.cfm?aid=9548111","5T42OH008412-14")</f>
        <v>5T42OH008412-14</v>
      </c>
      <c r="B12" s="5">
        <v>8412</v>
      </c>
      <c r="C12" s="4" t="str">
        <f>HYPERLINK("https://projectreporter.nih.gov/project_info_description.cfm?aid=9548111","Southern California Education and Research Center")</f>
        <v>Southern California Education and Research Center</v>
      </c>
      <c r="D12" s="5" t="s">
        <v>62</v>
      </c>
      <c r="E12" s="5" t="s">
        <v>63</v>
      </c>
      <c r="F12" s="6" t="s">
        <v>64</v>
      </c>
      <c r="G12" s="6" t="s">
        <v>65</v>
      </c>
      <c r="H12" s="5" t="s">
        <v>44</v>
      </c>
      <c r="I12" s="5" t="s">
        <v>61</v>
      </c>
      <c r="J12" s="5" t="s">
        <v>61</v>
      </c>
    </row>
    <row r="13" spans="1:10" ht="38.25" x14ac:dyDescent="0.2">
      <c r="A13" s="4" t="str">
        <f>HYPERLINK("https://projectreporter.nih.gov/project_info_details.cfm?aid=9583482","2T42OH008414-13")</f>
        <v>2T42OH008414-13</v>
      </c>
      <c r="B13" s="5">
        <v>8414</v>
      </c>
      <c r="C13" s="4" t="str">
        <f>HYPERLINK("https://projectreporter.nih.gov/project_info_description.cfm?aid=9583482","OCCUPATIONAL SAFETY AND HEALTH EDUCATION AND RESEARCH CENTERS (T42)")</f>
        <v>OCCUPATIONAL SAFETY AND HEALTH EDUCATION AND RESEARCH CENTERS (T42)</v>
      </c>
      <c r="D13" s="5" t="s">
        <v>66</v>
      </c>
      <c r="E13" s="5" t="s">
        <v>67</v>
      </c>
      <c r="F13" s="6" t="s">
        <v>68</v>
      </c>
      <c r="G13" s="6" t="s">
        <v>69</v>
      </c>
      <c r="H13" s="5" t="s">
        <v>70</v>
      </c>
      <c r="I13" s="5" t="s">
        <v>61</v>
      </c>
      <c r="J13" s="5" t="s">
        <v>61</v>
      </c>
    </row>
    <row r="14" spans="1:10" ht="38.25" x14ac:dyDescent="0.2">
      <c r="A14" s="4" t="str">
        <f>HYPERLINK("https://projectreporter.nih.gov/project_info_details.cfm?aid=9581847","2T42OH008416-14")</f>
        <v>2T42OH008416-14</v>
      </c>
      <c r="B14" s="5">
        <v>8416</v>
      </c>
      <c r="C14" s="4" t="str">
        <f>HYPERLINK("https://projectreporter.nih.gov/project_info_description.cfm?aid=9581847","OCCUPATIONAL SAFETY AND HEALTH EDUCATION AND RESEARCH CENTERS (T42)")</f>
        <v>OCCUPATIONAL SAFETY AND HEALTH EDUCATION AND RESEARCH CENTERS (T42)</v>
      </c>
      <c r="D14" s="5" t="s">
        <v>66</v>
      </c>
      <c r="E14" s="5" t="s">
        <v>67</v>
      </c>
      <c r="F14" s="6" t="s">
        <v>12</v>
      </c>
      <c r="G14" s="6" t="s">
        <v>71</v>
      </c>
      <c r="H14" s="5" t="s">
        <v>14</v>
      </c>
      <c r="I14" s="5" t="s">
        <v>61</v>
      </c>
      <c r="J14" s="5" t="s">
        <v>61</v>
      </c>
    </row>
    <row r="15" spans="1:10" ht="25.5" x14ac:dyDescent="0.2">
      <c r="A15" s="4" t="str">
        <f>HYPERLINK("https://projectreporter.nih.gov/project_info_details.cfm?aid=9538508","5T42OH008421-12")</f>
        <v>5T42OH008421-12</v>
      </c>
      <c r="B15" s="5">
        <v>8421</v>
      </c>
      <c r="C15" s="4" t="str">
        <f>HYPERLINK("https://projectreporter.nih.gov/project_info_description.cfm?aid=9538508","Southwest Center for Occupational and Environmental Health")</f>
        <v>Southwest Center for Occupational and Environmental Health</v>
      </c>
      <c r="D15" s="5" t="s">
        <v>72</v>
      </c>
      <c r="E15" s="5" t="s">
        <v>73</v>
      </c>
      <c r="F15" s="6" t="s">
        <v>74</v>
      </c>
      <c r="G15" s="6" t="s">
        <v>75</v>
      </c>
      <c r="H15" s="5" t="s">
        <v>21</v>
      </c>
      <c r="I15" s="5" t="s">
        <v>61</v>
      </c>
      <c r="J15" s="5" t="s">
        <v>61</v>
      </c>
    </row>
    <row r="16" spans="1:10" ht="25.5" x14ac:dyDescent="0.2">
      <c r="A16" s="4" t="str">
        <f>HYPERLINK("https://projectreporter.nih.gov/project_info_details.cfm?aid=9538509","5T42OH008422-13")</f>
        <v>5T42OH008422-13</v>
      </c>
      <c r="B16" s="5">
        <v>8422</v>
      </c>
      <c r="C16" s="4" t="str">
        <f>HYPERLINK("https://projectreporter.nih.gov/project_info_description.cfm?aid=9538509","NIOSH (Region ll) Education Resources Center")</f>
        <v>NIOSH (Region ll) Education Resources Center</v>
      </c>
      <c r="D16" s="5" t="s">
        <v>56</v>
      </c>
      <c r="E16" s="5" t="s">
        <v>57</v>
      </c>
      <c r="F16" s="6" t="s">
        <v>76</v>
      </c>
      <c r="G16" s="6" t="s">
        <v>77</v>
      </c>
      <c r="H16" s="5" t="s">
        <v>28</v>
      </c>
      <c r="I16" s="5" t="s">
        <v>61</v>
      </c>
      <c r="J16" s="5" t="s">
        <v>61</v>
      </c>
    </row>
    <row r="17" spans="1:10" ht="25.5" x14ac:dyDescent="0.2">
      <c r="A17" s="4" t="str">
        <f>HYPERLINK("https://projectreporter.nih.gov/project_info_details.cfm?aid=9518783","5T03OH008424-14")</f>
        <v>5T03OH008424-14</v>
      </c>
      <c r="B17" s="5">
        <v>8424</v>
      </c>
      <c r="C17" s="4" t="str">
        <f>HYPERLINK("https://projectreporter.nih.gov/project_info_description.cfm?aid=9518783","Occupational Health and Safety Training Grant")</f>
        <v>Occupational Health and Safety Training Grant</v>
      </c>
      <c r="D17" s="5" t="s">
        <v>72</v>
      </c>
      <c r="E17" s="5" t="s">
        <v>73</v>
      </c>
      <c r="F17" s="6" t="s">
        <v>78</v>
      </c>
      <c r="G17" s="6" t="s">
        <v>54</v>
      </c>
      <c r="H17" s="5" t="s">
        <v>14</v>
      </c>
      <c r="I17" s="5" t="s">
        <v>61</v>
      </c>
      <c r="J17" s="5" t="s">
        <v>61</v>
      </c>
    </row>
    <row r="18" spans="1:10" ht="38.25" x14ac:dyDescent="0.2">
      <c r="A18" s="4" t="str">
        <f>HYPERLINK("https://projectreporter.nih.gov/project_info_details.cfm?aid=9584383","2T42OH008428-14")</f>
        <v>2T42OH008428-14</v>
      </c>
      <c r="B18" s="5">
        <v>8428</v>
      </c>
      <c r="C18" s="4" t="str">
        <f>HYPERLINK("https://projectreporter.nih.gov/project_info_description.cfm?aid=9584383","OCCUPATIONAL SAFETY AND HEALTH EDUCATION AND RESEARCH CENTERS (T42)")</f>
        <v>OCCUPATIONAL SAFETY AND HEALTH EDUCATION AND RESEARCH CENTERS (T42)</v>
      </c>
      <c r="D18" s="5" t="s">
        <v>66</v>
      </c>
      <c r="E18" s="5" t="s">
        <v>67</v>
      </c>
      <c r="F18" s="6" t="s">
        <v>79</v>
      </c>
      <c r="G18" s="6" t="s">
        <v>80</v>
      </c>
      <c r="H18" s="5" t="s">
        <v>81</v>
      </c>
      <c r="I18" s="5" t="s">
        <v>61</v>
      </c>
      <c r="J18" s="5" t="s">
        <v>61</v>
      </c>
    </row>
    <row r="19" spans="1:10" ht="38.25" x14ac:dyDescent="0.2">
      <c r="A19" s="4" t="str">
        <f>HYPERLINK("https://projectreporter.nih.gov/project_info_details.cfm?aid=9538510","5T42OH008429-14")</f>
        <v>5T42OH008429-14</v>
      </c>
      <c r="B19" s="5">
        <v>8429</v>
      </c>
      <c r="C19" s="4" t="str">
        <f>HYPERLINK("https://projectreporter.nih.gov/project_info_description.cfm?aid=9538510","Occupational Safety and Health Educational and Research Centers")</f>
        <v>Occupational Safety and Health Educational and Research Centers</v>
      </c>
      <c r="D19" s="5" t="s">
        <v>72</v>
      </c>
      <c r="E19" s="5" t="s">
        <v>73</v>
      </c>
      <c r="F19" s="6" t="s">
        <v>82</v>
      </c>
      <c r="G19" s="6" t="s">
        <v>83</v>
      </c>
      <c r="H19" s="5" t="s">
        <v>44</v>
      </c>
      <c r="I19" s="5" t="s">
        <v>61</v>
      </c>
      <c r="J19" s="5" t="s">
        <v>61</v>
      </c>
    </row>
    <row r="20" spans="1:10" ht="25.5" x14ac:dyDescent="0.2">
      <c r="A20" s="4" t="str">
        <f>HYPERLINK("https://projectreporter.nih.gov/project_info_details.cfm?aid=9519577","5T03OH008431-14")</f>
        <v>5T03OH008431-14</v>
      </c>
      <c r="B20" s="5">
        <v>8431</v>
      </c>
      <c r="C20" s="4" t="str">
        <f>HYPERLINK("https://projectreporter.nih.gov/project_info_description.cfm?aid=9519577","Appalachian Training Program in Occupational Health and Safety")</f>
        <v>Appalachian Training Program in Occupational Health and Safety</v>
      </c>
      <c r="D20" s="5" t="s">
        <v>72</v>
      </c>
      <c r="E20" s="5" t="s">
        <v>73</v>
      </c>
      <c r="F20" s="6" t="s">
        <v>84</v>
      </c>
      <c r="G20" s="6" t="s">
        <v>85</v>
      </c>
      <c r="H20" s="5" t="s">
        <v>86</v>
      </c>
      <c r="I20" s="5" t="s">
        <v>61</v>
      </c>
      <c r="J20" s="5" t="s">
        <v>61</v>
      </c>
    </row>
    <row r="21" spans="1:10" ht="25.5" x14ac:dyDescent="0.2">
      <c r="A21" s="4" t="str">
        <f>HYPERLINK("https://projectreporter.nih.gov/project_info_details.cfm?aid=9538511","5T42OH008432-13")</f>
        <v>5T42OH008432-13</v>
      </c>
      <c r="B21" s="5">
        <v>8432</v>
      </c>
      <c r="C21" s="4" t="str">
        <f>HYPERLINK("https://projectreporter.nih.gov/project_info_description.cfm?aid=9538511","Education and Research Center (ERC-Cincinnati)")</f>
        <v>Education and Research Center (ERC-Cincinnati)</v>
      </c>
      <c r="D21" s="5" t="s">
        <v>56</v>
      </c>
      <c r="E21" s="5" t="s">
        <v>57</v>
      </c>
      <c r="F21" s="6" t="s">
        <v>87</v>
      </c>
      <c r="G21" s="6" t="s">
        <v>88</v>
      </c>
      <c r="H21" s="5" t="s">
        <v>89</v>
      </c>
      <c r="I21" s="5" t="s">
        <v>61</v>
      </c>
      <c r="J21" s="5" t="s">
        <v>61</v>
      </c>
    </row>
    <row r="22" spans="1:10" ht="25.5" x14ac:dyDescent="0.2">
      <c r="A22" s="4" t="str">
        <f>HYPERLINK("https://projectreporter.nih.gov/project_info_details.cfm?aid=9538512","5T42OH008433-14")</f>
        <v>5T42OH008433-14</v>
      </c>
      <c r="B22" s="5">
        <v>8433</v>
      </c>
      <c r="C22" s="4" t="str">
        <f>HYPERLINK("https://projectreporter.nih.gov/project_info_description.cfm?aid=9538512","Northwest Center For Occupational Health and Safety")</f>
        <v>Northwest Center For Occupational Health and Safety</v>
      </c>
      <c r="D22" s="5" t="s">
        <v>72</v>
      </c>
      <c r="E22" s="5" t="s">
        <v>73</v>
      </c>
      <c r="F22" s="6" t="s">
        <v>90</v>
      </c>
      <c r="G22" s="6" t="s">
        <v>31</v>
      </c>
      <c r="H22" s="5" t="s">
        <v>32</v>
      </c>
      <c r="I22" s="5" t="s">
        <v>61</v>
      </c>
      <c r="J22" s="5" t="s">
        <v>61</v>
      </c>
    </row>
    <row r="23" spans="1:10" ht="25.5" x14ac:dyDescent="0.2">
      <c r="A23" s="4" t="str">
        <f>HYPERLINK("https://projectreporter.nih.gov/project_info_details.cfm?aid=9538513","5T42OH008434-14")</f>
        <v>5T42OH008434-14</v>
      </c>
      <c r="B23" s="5">
        <v>8434</v>
      </c>
      <c r="C23" s="4" t="str">
        <f>HYPERLINK("https://projectreporter.nih.gov/project_info_description.cfm?aid=9538513","Midwest Center for Occupational Health and Safety Training Grant")</f>
        <v>Midwest Center for Occupational Health and Safety Training Grant</v>
      </c>
      <c r="D23" s="5" t="s">
        <v>72</v>
      </c>
      <c r="E23" s="5" t="s">
        <v>73</v>
      </c>
      <c r="F23" s="6" t="s">
        <v>91</v>
      </c>
      <c r="G23" s="6" t="s">
        <v>92</v>
      </c>
      <c r="H23" s="5" t="s">
        <v>93</v>
      </c>
      <c r="I23" s="5" t="s">
        <v>61</v>
      </c>
      <c r="J23" s="5" t="s">
        <v>61</v>
      </c>
    </row>
    <row r="24" spans="1:10" ht="25.5" x14ac:dyDescent="0.2">
      <c r="A24" s="4" t="str">
        <f>HYPERLINK("https://projectreporter.nih.gov/project_info_details.cfm?aid=9519578","5T03OH008435-14")</f>
        <v>5T03OH008435-14</v>
      </c>
      <c r="B24" s="5">
        <v>8435</v>
      </c>
      <c r="C24" s="4" t="str">
        <f>HYPERLINK("https://projectreporter.nih.gov/project_info_description.cfm?aid=9519578","Graduate Training in Occupational Health Psychology")</f>
        <v>Graduate Training in Occupational Health Psychology</v>
      </c>
      <c r="D24" s="5" t="s">
        <v>72</v>
      </c>
      <c r="E24" s="5" t="s">
        <v>73</v>
      </c>
      <c r="F24" s="6" t="s">
        <v>94</v>
      </c>
      <c r="G24" s="6" t="s">
        <v>95</v>
      </c>
      <c r="H24" s="5" t="s">
        <v>96</v>
      </c>
      <c r="I24" s="5" t="s">
        <v>61</v>
      </c>
      <c r="J24" s="5" t="s">
        <v>61</v>
      </c>
    </row>
    <row r="25" spans="1:10" ht="25.5" x14ac:dyDescent="0.2">
      <c r="A25" s="4" t="str">
        <f>HYPERLINK("https://projectreporter.nih.gov/project_info_details.cfm?aid=9548471","5T42OH008436-14")</f>
        <v>5T42OH008436-14</v>
      </c>
      <c r="B25" s="5">
        <v>8436</v>
      </c>
      <c r="C25" s="4" t="str">
        <f>HYPERLINK("https://projectreporter.nih.gov/project_info_description.cfm?aid=9548471","Deep South ERC-Industrial Hygiene")</f>
        <v>Deep South ERC-Industrial Hygiene</v>
      </c>
      <c r="D25" s="5" t="s">
        <v>62</v>
      </c>
      <c r="E25" s="5" t="s">
        <v>63</v>
      </c>
      <c r="F25" s="6" t="s">
        <v>97</v>
      </c>
      <c r="G25" s="6" t="s">
        <v>98</v>
      </c>
      <c r="H25" s="5" t="s">
        <v>99</v>
      </c>
      <c r="I25" s="5" t="s">
        <v>61</v>
      </c>
      <c r="J25" s="5" t="s">
        <v>61</v>
      </c>
    </row>
    <row r="26" spans="1:10" ht="25.5" x14ac:dyDescent="0.2">
      <c r="A26" s="4" t="str">
        <f>HYPERLINK("https://projectreporter.nih.gov/project_info_details.cfm?aid=9518449","5T03OH008437-13")</f>
        <v>5T03OH008437-13</v>
      </c>
      <c r="B26" s="5">
        <v>8437</v>
      </c>
      <c r="C26" s="4" t="str">
        <f>HYPERLINK("https://projectreporter.nih.gov/project_info_description.cfm?aid=9518449","Occupational Safety and Health Program Improvement")</f>
        <v>Occupational Safety and Health Program Improvement</v>
      </c>
      <c r="D26" s="5" t="s">
        <v>56</v>
      </c>
      <c r="E26" s="5" t="s">
        <v>57</v>
      </c>
      <c r="F26" s="6" t="s">
        <v>100</v>
      </c>
      <c r="G26" s="6" t="s">
        <v>101</v>
      </c>
      <c r="H26" s="5" t="s">
        <v>36</v>
      </c>
      <c r="I26" s="5" t="s">
        <v>61</v>
      </c>
      <c r="J26" s="5" t="s">
        <v>61</v>
      </c>
    </row>
    <row r="27" spans="1:10" x14ac:dyDescent="0.2">
      <c r="A27" s="4" t="str">
        <f>HYPERLINK("https://projectreporter.nih.gov/project_info_details.cfm?aid=9538514","5T42OH008438-14")</f>
        <v>5T42OH008438-14</v>
      </c>
      <c r="B27" s="5">
        <v>8438</v>
      </c>
      <c r="C27" s="4" t="str">
        <f>HYPERLINK("https://projectreporter.nih.gov/project_info_description.cfm?aid=9538514","Sunshine Education research Center")</f>
        <v>Sunshine Education research Center</v>
      </c>
      <c r="D27" s="5" t="s">
        <v>51</v>
      </c>
      <c r="E27" s="5" t="s">
        <v>102</v>
      </c>
      <c r="F27" s="6" t="s">
        <v>103</v>
      </c>
      <c r="G27" s="6" t="s">
        <v>104</v>
      </c>
      <c r="H27" s="5" t="s">
        <v>105</v>
      </c>
      <c r="I27" s="5" t="s">
        <v>61</v>
      </c>
      <c r="J27" s="5" t="s">
        <v>61</v>
      </c>
    </row>
    <row r="28" spans="1:10" ht="38.25" x14ac:dyDescent="0.2">
      <c r="A28" s="4" t="str">
        <f>HYPERLINK("https://projectreporter.nih.gov/project_info_details.cfm?aid=9583359","2T42OH008455-14")</f>
        <v>2T42OH008455-14</v>
      </c>
      <c r="B28" s="5">
        <v>8455</v>
      </c>
      <c r="C28" s="4" t="str">
        <f>HYPERLINK("https://projectreporter.nih.gov/project_info_description.cfm?aid=9583359","OCCUPATIONAL SAFETY AND HEALTH EDUCATION AND RESEARCH CENTERS (T42)")</f>
        <v>OCCUPATIONAL SAFETY AND HEALTH EDUCATION AND RESEARCH CENTERS (T42)</v>
      </c>
      <c r="D28" s="5" t="s">
        <v>66</v>
      </c>
      <c r="E28" s="5" t="s">
        <v>67</v>
      </c>
      <c r="F28" s="6" t="s">
        <v>106</v>
      </c>
      <c r="G28" s="6" t="s">
        <v>107</v>
      </c>
      <c r="H28" s="5" t="s">
        <v>108</v>
      </c>
      <c r="I28" s="5" t="s">
        <v>61</v>
      </c>
      <c r="J28" s="5" t="s">
        <v>61</v>
      </c>
    </row>
    <row r="29" spans="1:10" ht="25.5" x14ac:dyDescent="0.2">
      <c r="A29" s="4" t="str">
        <f>HYPERLINK("https://projectreporter.nih.gov/project_info_details.cfm?aid=9477946","5U60OH008460-13")</f>
        <v>5U60OH008460-13</v>
      </c>
      <c r="B29" s="5">
        <v>8460</v>
      </c>
      <c r="C29" s="4" t="str">
        <f>HYPERLINK("https://projectreporter.nih.gov/project_info_description.cfm?aid=9477946","Iowa Occupational Health and Safety Surveillance Program")</f>
        <v>Iowa Occupational Health and Safety Surveillance Program</v>
      </c>
      <c r="D29" s="5" t="s">
        <v>72</v>
      </c>
      <c r="E29" s="5" t="s">
        <v>73</v>
      </c>
      <c r="F29" s="6" t="s">
        <v>109</v>
      </c>
      <c r="G29" s="6" t="s">
        <v>110</v>
      </c>
      <c r="H29" s="5" t="s">
        <v>40</v>
      </c>
      <c r="I29" s="5" t="s">
        <v>61</v>
      </c>
      <c r="J29" s="5" t="s">
        <v>37</v>
      </c>
    </row>
    <row r="30" spans="1:10" ht="25.5" x14ac:dyDescent="0.2">
      <c r="A30" s="4" t="str">
        <f>HYPERLINK("https://projectreporter.nih.gov/project_info_details.cfm?aid=9501552","5U60OH008466-14")</f>
        <v>5U60OH008466-14</v>
      </c>
      <c r="B30" s="5">
        <v>8466</v>
      </c>
      <c r="C30" s="4" t="str">
        <f>HYPERLINK("https://projectreporter.nih.gov/project_info_description.cfm?aid=9501552","Expanded Program in Occupational Injury and Illness Surveillance")</f>
        <v>Expanded Program in Occupational Injury and Illness Surveillance</v>
      </c>
      <c r="D30" s="5" t="s">
        <v>72</v>
      </c>
      <c r="E30" s="5" t="s">
        <v>73</v>
      </c>
      <c r="F30" s="6" t="s">
        <v>111</v>
      </c>
      <c r="G30" s="6" t="s">
        <v>112</v>
      </c>
      <c r="H30" s="5" t="s">
        <v>108</v>
      </c>
      <c r="I30" s="5" t="s">
        <v>61</v>
      </c>
      <c r="J30" s="5" t="s">
        <v>113</v>
      </c>
    </row>
    <row r="31" spans="1:10" ht="25.5" x14ac:dyDescent="0.2">
      <c r="A31" s="4" t="str">
        <f>HYPERLINK("https://projectreporter.nih.gov/project_info_details.cfm?aid=9512591","5U60OH008468-14")</f>
        <v>5U60OH008468-14</v>
      </c>
      <c r="B31" s="5">
        <v>8468</v>
      </c>
      <c r="C31" s="4" t="str">
        <f>HYPERLINK("https://projectreporter.nih.gov/project_info_description.cfm?aid=9512591","California Occupational Health and Safety Surveillance Program")</f>
        <v>California Occupational Health and Safety Surveillance Program</v>
      </c>
      <c r="D31" s="5" t="s">
        <v>72</v>
      </c>
      <c r="E31" s="5" t="s">
        <v>73</v>
      </c>
      <c r="F31" s="6" t="s">
        <v>114</v>
      </c>
      <c r="G31" s="6" t="s">
        <v>115</v>
      </c>
      <c r="H31" s="5" t="s">
        <v>44</v>
      </c>
      <c r="I31" s="5" t="s">
        <v>61</v>
      </c>
      <c r="J31" s="5" t="s">
        <v>113</v>
      </c>
    </row>
    <row r="32" spans="1:10" ht="25.5" x14ac:dyDescent="0.2">
      <c r="A32" s="4" t="str">
        <f>HYPERLINK("https://projectreporter.nih.gov/project_info_details.cfm?aid=9505765","5U60OH008472-14")</f>
        <v>5U60OH008472-14</v>
      </c>
      <c r="B32" s="5">
        <v>8472</v>
      </c>
      <c r="C32" s="4" t="str">
        <f>HYPERLINK("https://projectreporter.nih.gov/project_info_description.cfm?aid=9505765","Improving Occupational Health in Oregon: Turning Data to Action")</f>
        <v>Improving Occupational Health in Oregon: Turning Data to Action</v>
      </c>
      <c r="D32" s="5" t="s">
        <v>66</v>
      </c>
      <c r="E32" s="5" t="s">
        <v>73</v>
      </c>
      <c r="F32" s="6" t="s">
        <v>116</v>
      </c>
      <c r="G32" s="6" t="s">
        <v>117</v>
      </c>
      <c r="H32" s="5" t="s">
        <v>96</v>
      </c>
      <c r="I32" s="5" t="s">
        <v>61</v>
      </c>
      <c r="J32" s="5" t="s">
        <v>37</v>
      </c>
    </row>
    <row r="33" spans="1:10" ht="38.25" x14ac:dyDescent="0.2">
      <c r="A33" s="4" t="str">
        <f>HYPERLINK("https://projectreporter.nih.gov/project_info_details.cfm?aid=9501553","5U60OH008474-14")</f>
        <v>5U60OH008474-14</v>
      </c>
      <c r="B33" s="5">
        <v>8474</v>
      </c>
      <c r="C33" s="4" t="str">
        <f>HYPERLINK("https://projectreporter.nih.gov/project_info_description.cfm?aid=9501553","Occupational Health and Safety Surveillance and Intervention in New York State")</f>
        <v>Occupational Health and Safety Surveillance and Intervention in New York State</v>
      </c>
      <c r="D33" s="5" t="s">
        <v>72</v>
      </c>
      <c r="E33" s="5" t="s">
        <v>73</v>
      </c>
      <c r="F33" s="6" t="s">
        <v>118</v>
      </c>
      <c r="G33" s="6" t="s">
        <v>119</v>
      </c>
      <c r="H33" s="5" t="s">
        <v>28</v>
      </c>
      <c r="I33" s="5" t="s">
        <v>61</v>
      </c>
      <c r="J33" s="5" t="s">
        <v>41</v>
      </c>
    </row>
    <row r="34" spans="1:10" ht="25.5" x14ac:dyDescent="0.2">
      <c r="A34" s="4" t="str">
        <f>HYPERLINK("https://projectreporter.nih.gov/project_info_details.cfm?aid=9522812","5U60OH008483-14")</f>
        <v>5U60OH008483-14</v>
      </c>
      <c r="B34" s="5">
        <v>8483</v>
      </c>
      <c r="C34" s="4" t="str">
        <f>HYPERLINK("https://projectreporter.nih.gov/project_info_description.cfm?aid=9522812","Kentucky Occupational Safety and Health Surveillance")</f>
        <v>Kentucky Occupational Safety and Health Surveillance</v>
      </c>
      <c r="D34" s="5" t="s">
        <v>120</v>
      </c>
      <c r="E34" s="5" t="s">
        <v>73</v>
      </c>
      <c r="F34" s="6" t="s">
        <v>121</v>
      </c>
      <c r="G34" s="6" t="s">
        <v>122</v>
      </c>
      <c r="H34" s="5" t="s">
        <v>36</v>
      </c>
      <c r="I34" s="5" t="s">
        <v>61</v>
      </c>
      <c r="J34" s="5" t="s">
        <v>37</v>
      </c>
    </row>
    <row r="35" spans="1:10" ht="25.5" x14ac:dyDescent="0.2">
      <c r="A35" s="4" t="str">
        <f>HYPERLINK("https://projectreporter.nih.gov/project_info_details.cfm?aid=9477947","5U60OH008485-14")</f>
        <v>5U60OH008485-14</v>
      </c>
      <c r="B35" s="5">
        <v>8485</v>
      </c>
      <c r="C35" s="4" t="str">
        <f>HYPERLINK("https://projectreporter.nih.gov/project_info_description.cfm?aid=9477947","NJ Occupational Health Surveillance")</f>
        <v>NJ Occupational Health Surveillance</v>
      </c>
      <c r="D35" s="5" t="s">
        <v>72</v>
      </c>
      <c r="E35" s="5" t="s">
        <v>73</v>
      </c>
      <c r="F35" s="6" t="s">
        <v>123</v>
      </c>
      <c r="G35" s="6" t="s">
        <v>124</v>
      </c>
      <c r="H35" s="5" t="s">
        <v>125</v>
      </c>
      <c r="I35" s="5" t="s">
        <v>61</v>
      </c>
      <c r="J35" s="5" t="s">
        <v>37</v>
      </c>
    </row>
    <row r="36" spans="1:10" ht="38.25" x14ac:dyDescent="0.2">
      <c r="A36" s="4" t="str">
        <f>HYPERLINK("https://projectreporter.nih.gov/project_info_details.cfm?aid=9501554","5U60OH008487-14")</f>
        <v>5U60OH008487-14</v>
      </c>
      <c r="B36" s="5">
        <v>8487</v>
      </c>
      <c r="C36" s="4" t="str">
        <f>HYPERLINK("https://projectreporter.nih.gov/project_info_description.cfm?aid=9501554","Washington Occupational Injury and Illness Surveillance Program")</f>
        <v>Washington Occupational Injury and Illness Surveillance Program</v>
      </c>
      <c r="D36" s="5" t="s">
        <v>72</v>
      </c>
      <c r="E36" s="5" t="s">
        <v>73</v>
      </c>
      <c r="F36" s="6" t="s">
        <v>126</v>
      </c>
      <c r="G36" s="6" t="s">
        <v>127</v>
      </c>
      <c r="H36" s="5" t="s">
        <v>32</v>
      </c>
      <c r="I36" s="5" t="s">
        <v>61</v>
      </c>
      <c r="J36" s="5" t="s">
        <v>128</v>
      </c>
    </row>
    <row r="37" spans="1:10" ht="25.5" x14ac:dyDescent="0.2">
      <c r="A37" s="4" t="str">
        <f>HYPERLINK("https://projectreporter.nih.gov/project_info_details.cfm?aid=9501555","5U60OH008490-14")</f>
        <v>5U60OH008490-14</v>
      </c>
      <c r="B37" s="5">
        <v>8490</v>
      </c>
      <c r="C37" s="4" t="str">
        <f>HYPERLINK("https://projectreporter.nih.gov/project_info_description.cfm?aid=9501555","Expanded Occupational Health Surveillance in MA")</f>
        <v>Expanded Occupational Health Surveillance in MA</v>
      </c>
      <c r="D37" s="5" t="s">
        <v>72</v>
      </c>
      <c r="E37" s="5" t="s">
        <v>73</v>
      </c>
      <c r="F37" s="6" t="s">
        <v>129</v>
      </c>
      <c r="G37" s="6" t="s">
        <v>130</v>
      </c>
      <c r="H37" s="5" t="s">
        <v>14</v>
      </c>
      <c r="I37" s="5" t="s">
        <v>61</v>
      </c>
      <c r="J37" s="5" t="s">
        <v>41</v>
      </c>
    </row>
    <row r="38" spans="1:10" ht="25.5" x14ac:dyDescent="0.2">
      <c r="A38" s="4" t="str">
        <f>HYPERLINK("https://projectreporter.nih.gov/project_info_details.cfm?aid=9538516","5T42OH008491-13")</f>
        <v>5T42OH008491-13</v>
      </c>
      <c r="B38" s="5">
        <v>8491</v>
      </c>
      <c r="C38" s="4" t="str">
        <f>HYPERLINK("https://projectreporter.nih.gov/project_info_description.cfm?aid=9538516","Heartland Occupational Safety &amp; Health Education &amp; Research Center")</f>
        <v>Heartland Occupational Safety &amp; Health Education &amp; Research Center</v>
      </c>
      <c r="D38" s="5" t="s">
        <v>51</v>
      </c>
      <c r="E38" s="5" t="s">
        <v>102</v>
      </c>
      <c r="F38" s="6" t="s">
        <v>131</v>
      </c>
      <c r="G38" s="6" t="s">
        <v>39</v>
      </c>
      <c r="H38" s="5" t="s">
        <v>40</v>
      </c>
      <c r="I38" s="5" t="s">
        <v>61</v>
      </c>
      <c r="J38" s="5" t="s">
        <v>61</v>
      </c>
    </row>
    <row r="39" spans="1:10" ht="38.25" x14ac:dyDescent="0.2">
      <c r="A39" s="4" t="str">
        <f>HYPERLINK("https://projectreporter.nih.gov/project_info_details.cfm?aid=9522814","5T03OH008605-13")</f>
        <v>5T03OH008605-13</v>
      </c>
      <c r="B39" s="5">
        <v>8605</v>
      </c>
      <c r="C39" s="4" t="str">
        <f>HYPERLINK("https://projectreporter.nih.gov/project_info_description.cfm?aid=9522814","NIOSH Training Project Grant (TPG): Industrial Hygiene University of Toledo")</f>
        <v>NIOSH Training Project Grant (TPG): Industrial Hygiene University of Toledo</v>
      </c>
      <c r="D39" s="5" t="s">
        <v>72</v>
      </c>
      <c r="E39" s="5" t="s">
        <v>73</v>
      </c>
      <c r="F39" s="6" t="s">
        <v>132</v>
      </c>
      <c r="G39" s="6" t="s">
        <v>133</v>
      </c>
      <c r="H39" s="5" t="s">
        <v>89</v>
      </c>
      <c r="I39" s="5" t="s">
        <v>61</v>
      </c>
      <c r="J39" s="5" t="s">
        <v>61</v>
      </c>
    </row>
    <row r="40" spans="1:10" ht="25.5" x14ac:dyDescent="0.2">
      <c r="A40" s="4" t="str">
        <f>HYPERLINK("https://projectreporter.nih.gov/project_info_details.cfm?aid=9518450","5T03OH008607-14")</f>
        <v>5T03OH008607-14</v>
      </c>
      <c r="B40" s="5">
        <v>8607</v>
      </c>
      <c r="C40" s="4" t="str">
        <f>HYPERLINK("https://projectreporter.nih.gov/project_info_description.cfm?aid=9518450","Occupational Safety and Health Training Project Grant")</f>
        <v>Occupational Safety and Health Training Project Grant</v>
      </c>
      <c r="D40" s="5" t="s">
        <v>56</v>
      </c>
      <c r="E40" s="5" t="s">
        <v>57</v>
      </c>
      <c r="F40" s="6" t="s">
        <v>134</v>
      </c>
      <c r="G40" s="6" t="s">
        <v>135</v>
      </c>
      <c r="H40" s="5" t="s">
        <v>136</v>
      </c>
      <c r="I40" s="5" t="s">
        <v>61</v>
      </c>
      <c r="J40" s="5" t="s">
        <v>61</v>
      </c>
    </row>
    <row r="41" spans="1:10" ht="25.5" x14ac:dyDescent="0.2">
      <c r="A41" s="4" t="str">
        <f>HYPERLINK("https://projectreporter.nih.gov/project_info_details.cfm?aid=9522815","5T03OH008610-14")</f>
        <v>5T03OH008610-14</v>
      </c>
      <c r="B41" s="5">
        <v>8610</v>
      </c>
      <c r="C41" s="4" t="str">
        <f>HYPERLINK("https://projectreporter.nih.gov/project_info_description.cfm?aid=9522815","Occupational Health Psychology Training")</f>
        <v>Occupational Health Psychology Training</v>
      </c>
      <c r="D41" s="5" t="s">
        <v>72</v>
      </c>
      <c r="E41" s="5" t="s">
        <v>73</v>
      </c>
      <c r="F41" s="6" t="s">
        <v>137</v>
      </c>
      <c r="G41" s="6" t="s">
        <v>138</v>
      </c>
      <c r="H41" s="5" t="s">
        <v>136</v>
      </c>
      <c r="I41" s="5" t="s">
        <v>61</v>
      </c>
      <c r="J41" s="5" t="s">
        <v>61</v>
      </c>
    </row>
    <row r="42" spans="1:10" ht="25.5" x14ac:dyDescent="0.2">
      <c r="A42" s="4" t="str">
        <f>HYPERLINK("https://projectreporter.nih.gov/project_info_details.cfm?aid=9518451","5T03OH008613-14")</f>
        <v>5T03OH008613-14</v>
      </c>
      <c r="B42" s="5">
        <v>8613</v>
      </c>
      <c r="C42" s="4" t="str">
        <f>HYPERLINK("https://projectreporter.nih.gov/project_info_description.cfm?aid=9518451","Safety &amp; Ergonomics Training")</f>
        <v>Safety &amp; Ergonomics Training</v>
      </c>
      <c r="D42" s="5" t="s">
        <v>56</v>
      </c>
      <c r="E42" s="5" t="s">
        <v>57</v>
      </c>
      <c r="F42" s="6" t="s">
        <v>139</v>
      </c>
      <c r="G42" s="6" t="s">
        <v>140</v>
      </c>
      <c r="H42" s="5" t="s">
        <v>141</v>
      </c>
      <c r="I42" s="5" t="s">
        <v>61</v>
      </c>
      <c r="J42" s="5" t="s">
        <v>61</v>
      </c>
    </row>
    <row r="43" spans="1:10" x14ac:dyDescent="0.2">
      <c r="A43" s="4" t="str">
        <f>HYPERLINK("https://projectreporter.nih.gov/project_info_details.cfm?aid=9522816","5T03OH008614-15")</f>
        <v>5T03OH008614-15</v>
      </c>
      <c r="B43" s="5">
        <v>8614</v>
      </c>
      <c r="C43" s="4" t="str">
        <f>HYPERLINK("https://projectreporter.nih.gov/project_info_description.cfm?aid=9522816","Industrial Hygiene Training")</f>
        <v>Industrial Hygiene Training</v>
      </c>
      <c r="D43" s="5" t="s">
        <v>51</v>
      </c>
      <c r="E43" s="5" t="s">
        <v>102</v>
      </c>
      <c r="F43" s="6" t="s">
        <v>142</v>
      </c>
      <c r="G43" s="6" t="s">
        <v>143</v>
      </c>
      <c r="H43" s="5" t="s">
        <v>144</v>
      </c>
      <c r="I43" s="5" t="s">
        <v>61</v>
      </c>
      <c r="J43" s="5" t="s">
        <v>61</v>
      </c>
    </row>
    <row r="44" spans="1:10" ht="25.5" x14ac:dyDescent="0.2">
      <c r="A44" s="4" t="str">
        <f>HYPERLINK("https://projectreporter.nih.gov/project_info_details.cfm?aid=9542107","5T03OH008615-13")</f>
        <v>5T03OH008615-13</v>
      </c>
      <c r="B44" s="5">
        <v>8615</v>
      </c>
      <c r="C44" s="4" t="str">
        <f>HYPERLINK("https://projectreporter.nih.gov/project_info_description.cfm?aid=9542107","Occupational Safety and Health Program")</f>
        <v>Occupational Safety and Health Program</v>
      </c>
      <c r="D44" s="5" t="s">
        <v>62</v>
      </c>
      <c r="E44" s="5" t="s">
        <v>63</v>
      </c>
      <c r="F44" s="6" t="s">
        <v>145</v>
      </c>
      <c r="G44" s="6" t="s">
        <v>146</v>
      </c>
      <c r="H44" s="5" t="s">
        <v>147</v>
      </c>
      <c r="I44" s="5" t="s">
        <v>61</v>
      </c>
      <c r="J44" s="5" t="s">
        <v>61</v>
      </c>
    </row>
    <row r="45" spans="1:10" ht="25.5" x14ac:dyDescent="0.2">
      <c r="A45" s="4" t="str">
        <f>HYPERLINK("https://projectreporter.nih.gov/project_info_details.cfm?aid=9270428","5T03OH008619-13")</f>
        <v>5T03OH008619-13</v>
      </c>
      <c r="B45" s="5">
        <v>8619</v>
      </c>
      <c r="C45" s="4" t="str">
        <f>HYPERLINK("https://projectreporter.nih.gov/project_info_description.cfm?aid=9270428","Occupational Safety and Health Training Project Grant")</f>
        <v>Occupational Safety and Health Training Project Grant</v>
      </c>
      <c r="D45" s="5" t="s">
        <v>120</v>
      </c>
      <c r="E45" s="5" t="s">
        <v>52</v>
      </c>
      <c r="F45" s="6" t="s">
        <v>148</v>
      </c>
      <c r="G45" s="6" t="s">
        <v>149</v>
      </c>
      <c r="H45" s="5" t="s">
        <v>150</v>
      </c>
      <c r="I45" s="5" t="s">
        <v>61</v>
      </c>
      <c r="J45" s="5" t="s">
        <v>61</v>
      </c>
    </row>
    <row r="46" spans="1:10" ht="25.5" x14ac:dyDescent="0.2">
      <c r="A46" s="4" t="str">
        <f>HYPERLINK("https://projectreporter.nih.gov/project_info_details.cfm?aid=9526914","5T03OH008622-13")</f>
        <v>5T03OH008622-13</v>
      </c>
      <c r="B46" s="5">
        <v>8622</v>
      </c>
      <c r="C46" s="4" t="str">
        <f>HYPERLINK("https://projectreporter.nih.gov/project_info_description.cfm?aid=9526914","Millersville University NIOSH Training Grant")</f>
        <v>Millersville University NIOSH Training Grant</v>
      </c>
      <c r="D46" s="5" t="s">
        <v>56</v>
      </c>
      <c r="E46" s="5" t="s">
        <v>73</v>
      </c>
      <c r="F46" s="6" t="s">
        <v>151</v>
      </c>
      <c r="G46" s="6" t="s">
        <v>152</v>
      </c>
      <c r="H46" s="5" t="s">
        <v>153</v>
      </c>
      <c r="I46" s="5" t="s">
        <v>61</v>
      </c>
      <c r="J46" s="5" t="s">
        <v>61</v>
      </c>
    </row>
    <row r="47" spans="1:10" ht="38.25" x14ac:dyDescent="0.2">
      <c r="A47" s="4" t="str">
        <f>HYPERLINK("https://projectreporter.nih.gov/project_info_details.cfm?aid=9542108","5T03OH008624-14")</f>
        <v>5T03OH008624-14</v>
      </c>
      <c r="B47" s="5">
        <v>8624</v>
      </c>
      <c r="C47" s="4" t="str">
        <f>HYPERLINK("https://projectreporter.nih.gov/project_info_description.cfm?aid=9542108","Occupational Safety and Health Training Project Grant in Industrial Hygiene")</f>
        <v>Occupational Safety and Health Training Project Grant in Industrial Hygiene</v>
      </c>
      <c r="D47" s="5" t="s">
        <v>62</v>
      </c>
      <c r="E47" s="5" t="s">
        <v>63</v>
      </c>
      <c r="F47" s="6" t="s">
        <v>154</v>
      </c>
      <c r="G47" s="6" t="s">
        <v>155</v>
      </c>
      <c r="H47" s="5" t="s">
        <v>99</v>
      </c>
      <c r="I47" s="5" t="s">
        <v>61</v>
      </c>
      <c r="J47" s="5" t="s">
        <v>61</v>
      </c>
    </row>
    <row r="48" spans="1:10" x14ac:dyDescent="0.2">
      <c r="A48" s="4" t="str">
        <f>HYPERLINK("https://projectreporter.nih.gov/project_info_details.cfm?aid=9526915","5T03OH008628-14")</f>
        <v>5T03OH008628-14</v>
      </c>
      <c r="B48" s="5">
        <v>8628</v>
      </c>
      <c r="C48" s="4" t="str">
        <f>HYPERLINK("https://projectreporter.nih.gov/project_info_description.cfm?aid=9526915","Training in Occupational Medicine")</f>
        <v>Training in Occupational Medicine</v>
      </c>
      <c r="D48" s="5" t="s">
        <v>51</v>
      </c>
      <c r="E48" s="5" t="s">
        <v>102</v>
      </c>
      <c r="F48" s="6" t="s">
        <v>156</v>
      </c>
      <c r="G48" s="6" t="s">
        <v>157</v>
      </c>
      <c r="H48" s="5" t="s">
        <v>153</v>
      </c>
      <c r="I48" s="5" t="s">
        <v>61</v>
      </c>
      <c r="J48" s="5" t="s">
        <v>61</v>
      </c>
    </row>
    <row r="49" spans="1:10" ht="25.5" x14ac:dyDescent="0.2">
      <c r="A49" s="4" t="str">
        <f>HYPERLINK("https://projectreporter.nih.gov/project_info_details.cfm?aid=9518452","5T03OH008629-13")</f>
        <v>5T03OH008629-13</v>
      </c>
      <c r="B49" s="5">
        <v>8629</v>
      </c>
      <c r="C49" s="4" t="str">
        <f>HYPERLINK("https://projectreporter.nih.gov/project_info_description.cfm?aid=9518452","Occupational Safety and Health Training and Education Grant")</f>
        <v>Occupational Safety and Health Training and Education Grant</v>
      </c>
      <c r="D49" s="5" t="s">
        <v>56</v>
      </c>
      <c r="E49" s="5" t="s">
        <v>57</v>
      </c>
      <c r="F49" s="6" t="s">
        <v>158</v>
      </c>
      <c r="G49" s="6" t="s">
        <v>159</v>
      </c>
      <c r="H49" s="5" t="s">
        <v>160</v>
      </c>
      <c r="I49" s="5" t="s">
        <v>61</v>
      </c>
      <c r="J49" s="5" t="s">
        <v>61</v>
      </c>
    </row>
    <row r="50" spans="1:10" ht="25.5" x14ac:dyDescent="0.2">
      <c r="A50" s="4" t="str">
        <f>HYPERLINK("https://projectreporter.nih.gov/project_info_details.cfm?aid=9281552","5T03OH008630-13")</f>
        <v>5T03OH008630-13</v>
      </c>
      <c r="B50" s="5">
        <v>8630</v>
      </c>
      <c r="C50" s="4" t="str">
        <f>HYPERLINK("https://projectreporter.nih.gov/project_info_description.cfm?aid=9281552","Combined Undergraduate and Graduate Training Program")</f>
        <v>Combined Undergraduate and Graduate Training Program</v>
      </c>
      <c r="D50" s="5" t="s">
        <v>120</v>
      </c>
      <c r="E50" s="5" t="s">
        <v>102</v>
      </c>
      <c r="F50" s="6" t="s">
        <v>161</v>
      </c>
      <c r="G50" s="6" t="s">
        <v>162</v>
      </c>
      <c r="H50" s="5" t="s">
        <v>163</v>
      </c>
      <c r="I50" s="5" t="s">
        <v>61</v>
      </c>
      <c r="J50" s="5" t="s">
        <v>61</v>
      </c>
    </row>
    <row r="51" spans="1:10" ht="25.5" x14ac:dyDescent="0.2">
      <c r="A51" s="4" t="str">
        <f>HYPERLINK("https://projectreporter.nih.gov/project_info_details.cfm?aid=9471228","5T03OH008631-14")</f>
        <v>5T03OH008631-14</v>
      </c>
      <c r="B51" s="5">
        <v>8631</v>
      </c>
      <c r="C51" s="4" t="str">
        <f>HYPERLINK("https://projectreporter.nih.gov/project_info_description.cfm?aid=9471228","Commercial Fishing Safety Training")</f>
        <v>Commercial Fishing Safety Training</v>
      </c>
      <c r="D51" s="5" t="s">
        <v>56</v>
      </c>
      <c r="E51" s="5" t="s">
        <v>57</v>
      </c>
      <c r="F51" s="6" t="s">
        <v>164</v>
      </c>
      <c r="G51" s="6" t="s">
        <v>165</v>
      </c>
      <c r="H51" s="5" t="s">
        <v>166</v>
      </c>
      <c r="I51" s="5" t="s">
        <v>22</v>
      </c>
      <c r="J51" s="5" t="s">
        <v>61</v>
      </c>
    </row>
    <row r="52" spans="1:10" ht="25.5" x14ac:dyDescent="0.2">
      <c r="A52" s="4" t="str">
        <f>HYPERLINK("https://projectreporter.nih.gov/project_info_details.cfm?aid=9538518","5T42OH008672-13")</f>
        <v>5T42OH008672-13</v>
      </c>
      <c r="B52" s="5">
        <v>8672</v>
      </c>
      <c r="C52" s="4" t="str">
        <f>HYPERLINK("https://projectreporter.nih.gov/project_info_description.cfm?aid=9538518","Occupational Safety and Health  ERC, University of Illinois at Chicago")</f>
        <v>Occupational Safety and Health  ERC, University of Illinois at Chicago</v>
      </c>
      <c r="D52" s="5" t="s">
        <v>51</v>
      </c>
      <c r="E52" s="5" t="s">
        <v>102</v>
      </c>
      <c r="F52" s="6" t="s">
        <v>167</v>
      </c>
      <c r="G52" s="6" t="s">
        <v>168</v>
      </c>
      <c r="H52" s="5" t="s">
        <v>169</v>
      </c>
      <c r="I52" s="5" t="s">
        <v>61</v>
      </c>
      <c r="J52" s="5" t="s">
        <v>61</v>
      </c>
    </row>
    <row r="53" spans="1:10" ht="38.25" x14ac:dyDescent="0.2">
      <c r="A53" s="4" t="str">
        <f>HYPERLINK("https://projectreporter.nih.gov/project_info_details.cfm?aid=9548472","5T42OH008673-13")</f>
        <v>5T42OH008673-13</v>
      </c>
      <c r="B53" s="5">
        <v>8673</v>
      </c>
      <c r="C53" s="4" t="str">
        <f>HYPERLINK("https://projectreporter.nih.gov/project_info_description.cfm?aid=9548472","North Carolina Occupational Safety and Health Education and Research Center")</f>
        <v>North Carolina Occupational Safety and Health Education and Research Center</v>
      </c>
      <c r="D53" s="5" t="s">
        <v>62</v>
      </c>
      <c r="E53" s="5" t="s">
        <v>63</v>
      </c>
      <c r="F53" s="6" t="s">
        <v>170</v>
      </c>
      <c r="G53" s="6" t="s">
        <v>171</v>
      </c>
      <c r="H53" s="5" t="s">
        <v>172</v>
      </c>
      <c r="I53" s="5" t="s">
        <v>61</v>
      </c>
      <c r="J53" s="5" t="s">
        <v>61</v>
      </c>
    </row>
    <row r="54" spans="1:10" ht="25.5" x14ac:dyDescent="0.2">
      <c r="A54" s="4" t="str">
        <f>HYPERLINK("https://projectreporter.nih.gov/project_info_details.cfm?aid=9110028","5R01OH008795-08")</f>
        <v>5R01OH008795-08</v>
      </c>
      <c r="B54" s="5">
        <v>8795</v>
      </c>
      <c r="C54" s="4" t="str">
        <f>HYPERLINK("https://projectreporter.nih.gov/project_info_description.cfm?aid=9110028","Genetic Suceptibility for Occupational Asthma")</f>
        <v>Genetic Suceptibility for Occupational Asthma</v>
      </c>
      <c r="D54" s="5" t="s">
        <v>173</v>
      </c>
      <c r="E54" s="5" t="s">
        <v>174</v>
      </c>
      <c r="F54" s="6" t="s">
        <v>175</v>
      </c>
      <c r="G54" s="6" t="s">
        <v>88</v>
      </c>
      <c r="H54" s="5" t="s">
        <v>89</v>
      </c>
      <c r="I54" s="5" t="s">
        <v>176</v>
      </c>
      <c r="J54" s="5" t="s">
        <v>16</v>
      </c>
    </row>
    <row r="55" spans="1:10" ht="38.25" x14ac:dyDescent="0.2">
      <c r="A55" s="4" t="str">
        <f>HYPERLINK("https://projectreporter.nih.gov/project_info_details.cfm?aid=9518453","5T03OH008847-13")</f>
        <v>5T03OH008847-13</v>
      </c>
      <c r="B55" s="5">
        <v>8847</v>
      </c>
      <c r="C55" s="4" t="str">
        <f>HYPERLINK("https://projectreporter.nih.gov/project_info_description.cfm?aid=9518453","Occupational Safety and Health Training Grant : MS ISE/ Safety and Ergonomics")</f>
        <v>Occupational Safety and Health Training Grant : MS ISE/ Safety and Ergonomics</v>
      </c>
      <c r="D55" s="5" t="s">
        <v>56</v>
      </c>
      <c r="E55" s="5" t="s">
        <v>57</v>
      </c>
      <c r="F55" s="6" t="s">
        <v>177</v>
      </c>
      <c r="G55" s="6" t="s">
        <v>178</v>
      </c>
      <c r="H55" s="5" t="s">
        <v>89</v>
      </c>
      <c r="I55" s="5" t="s">
        <v>61</v>
      </c>
      <c r="J55" s="5" t="s">
        <v>61</v>
      </c>
    </row>
    <row r="56" spans="1:10" ht="38.25" x14ac:dyDescent="0.2">
      <c r="A56" s="4" t="str">
        <f>HYPERLINK("https://projectreporter.nih.gov/project_info_details.cfm?aid=9526916","5T03OH008849-12")</f>
        <v>5T03OH008849-12</v>
      </c>
      <c r="B56" s="5">
        <v>8849</v>
      </c>
      <c r="C56" s="4" t="str">
        <f>HYPERLINK("https://projectreporter.nih.gov/project_info_description.cfm?aid=9526916","University at Buffalo, SUNY Occupational Safety and Health Training Project")</f>
        <v>University at Buffalo, SUNY Occupational Safety and Health Training Project</v>
      </c>
      <c r="D56" s="5" t="s">
        <v>72</v>
      </c>
      <c r="E56" s="5" t="s">
        <v>73</v>
      </c>
      <c r="F56" s="6" t="s">
        <v>179</v>
      </c>
      <c r="G56" s="6" t="s">
        <v>180</v>
      </c>
      <c r="H56" s="5" t="s">
        <v>28</v>
      </c>
      <c r="I56" s="5" t="s">
        <v>61</v>
      </c>
      <c r="J56" s="5" t="s">
        <v>61</v>
      </c>
    </row>
    <row r="57" spans="1:10" ht="25.5" x14ac:dyDescent="0.2">
      <c r="A57" s="4" t="str">
        <f>HYPERLINK("https://projectreporter.nih.gov/project_info_details.cfm?aid=9545572","5U19OH008857-13")</f>
        <v>5U19OH008857-13</v>
      </c>
      <c r="B57" s="5">
        <v>8857</v>
      </c>
      <c r="C57" s="4" t="str">
        <f>HYPERLINK("https://projectreporter.nih.gov/project_info_description.cfm?aid=9545572","Center for the Promotion of Health in the New England Workplace")</f>
        <v>Center for the Promotion of Health in the New England Workplace</v>
      </c>
      <c r="D57" s="5" t="s">
        <v>24</v>
      </c>
      <c r="E57" s="5" t="s">
        <v>25</v>
      </c>
      <c r="F57" s="6" t="s">
        <v>181</v>
      </c>
      <c r="G57" s="6" t="s">
        <v>54</v>
      </c>
      <c r="H57" s="5" t="s">
        <v>14</v>
      </c>
      <c r="I57" s="5" t="s">
        <v>182</v>
      </c>
      <c r="J57" s="5" t="s">
        <v>183</v>
      </c>
    </row>
    <row r="58" spans="1:10" ht="25.5" x14ac:dyDescent="0.2">
      <c r="A58" s="4" t="str">
        <f>HYPERLINK("https://projectreporter.nih.gov/project_info_details.cfm?aid=9545573","5U19OH008861-12")</f>
        <v>5U19OH008861-12</v>
      </c>
      <c r="B58" s="5">
        <v>8861</v>
      </c>
      <c r="C58" s="4" t="str">
        <f>HYPERLINK("https://projectreporter.nih.gov/project_info_description.cfm?aid=9545573","The Harvard School of Public Health Center for Work, Health and Welbeing")</f>
        <v>The Harvard School of Public Health Center for Work, Health and Welbeing</v>
      </c>
      <c r="D58" s="5" t="s">
        <v>24</v>
      </c>
      <c r="E58" s="5" t="s">
        <v>25</v>
      </c>
      <c r="F58" s="6" t="s">
        <v>26</v>
      </c>
      <c r="G58" s="6" t="s">
        <v>13</v>
      </c>
      <c r="H58" s="5" t="s">
        <v>14</v>
      </c>
      <c r="I58" s="5" t="s">
        <v>184</v>
      </c>
      <c r="J58" s="5" t="s">
        <v>185</v>
      </c>
    </row>
    <row r="59" spans="1:10" ht="25.5" x14ac:dyDescent="0.2">
      <c r="A59" s="4" t="str">
        <f>HYPERLINK("https://projectreporter.nih.gov/project_info_details.cfm?aid=9545575","5U19OH008868-13")</f>
        <v>5U19OH008868-13</v>
      </c>
      <c r="B59" s="5">
        <v>8868</v>
      </c>
      <c r="C59" s="4" t="str">
        <f>HYPERLINK("https://projectreporter.nih.gov/project_info_description.cfm?aid=9545575","Healthier Workforce Center of the Midwest")</f>
        <v>Healthier Workforce Center of the Midwest</v>
      </c>
      <c r="D59" s="5" t="s">
        <v>24</v>
      </c>
      <c r="E59" s="5" t="s">
        <v>25</v>
      </c>
      <c r="F59" s="6" t="s">
        <v>186</v>
      </c>
      <c r="G59" s="6" t="s">
        <v>39</v>
      </c>
      <c r="H59" s="5" t="s">
        <v>40</v>
      </c>
      <c r="I59" s="5" t="s">
        <v>187</v>
      </c>
      <c r="J59" s="5" t="s">
        <v>185</v>
      </c>
    </row>
    <row r="60" spans="1:10" ht="38.25" x14ac:dyDescent="0.2">
      <c r="A60" s="4" t="str">
        <f>HYPERLINK("https://projectreporter.nih.gov/project_info_details.cfm?aid=9569290","5R01OH008929-07")</f>
        <v>5R01OH008929-07</v>
      </c>
      <c r="B60" s="5">
        <v>8929</v>
      </c>
      <c r="C60" s="4" t="str">
        <f>HYPERLINK("https://projectreporter.nih.gov/project_info_description.cfm?aid=9569290","University of Connecticut Study on Aging, Musculoskeletal Disorders and Work Capacity")</f>
        <v>University of Connecticut Study on Aging, Musculoskeletal Disorders and Work Capacity</v>
      </c>
      <c r="D60" s="5" t="s">
        <v>188</v>
      </c>
      <c r="E60" s="5" t="s">
        <v>189</v>
      </c>
      <c r="F60" s="6" t="s">
        <v>190</v>
      </c>
      <c r="G60" s="6" t="s">
        <v>138</v>
      </c>
      <c r="H60" s="5" t="s">
        <v>136</v>
      </c>
      <c r="I60" s="5" t="s">
        <v>15</v>
      </c>
      <c r="J60" s="5" t="s">
        <v>191</v>
      </c>
    </row>
    <row r="61" spans="1:10" ht="25.5" x14ac:dyDescent="0.2">
      <c r="A61" s="4" t="str">
        <f>HYPERLINK("https://projectreporter.nih.gov/project_info_details.cfm?aid=9517556","5U24OH009077-12")</f>
        <v>5U24OH009077-12</v>
      </c>
      <c r="B61" s="5">
        <v>9077</v>
      </c>
      <c r="C61" s="4" t="str">
        <f>HYPERLINK("https://projectreporter.nih.gov/project_info_description.cfm?aid=9517556","National Mesothelioma Virtual Bank, Continued Innovation")</f>
        <v>National Mesothelioma Virtual Bank, Continued Innovation</v>
      </c>
      <c r="D61" s="5" t="s">
        <v>24</v>
      </c>
      <c r="E61" s="5" t="s">
        <v>25</v>
      </c>
      <c r="F61" s="6" t="s">
        <v>192</v>
      </c>
      <c r="G61" s="6" t="s">
        <v>193</v>
      </c>
      <c r="H61" s="5" t="s">
        <v>153</v>
      </c>
      <c r="I61" s="5" t="s">
        <v>176</v>
      </c>
      <c r="J61" s="5" t="s">
        <v>194</v>
      </c>
    </row>
    <row r="62" spans="1:10" ht="25.5" x14ac:dyDescent="0.2">
      <c r="A62" s="4" t="str">
        <f>HYPERLINK("https://projectreporter.nih.gov/project_info_details.cfm?aid=9591665","2T03OH009220-12")</f>
        <v>2T03OH009220-12</v>
      </c>
      <c r="B62" s="5">
        <v>9220</v>
      </c>
      <c r="C62" s="4" t="str">
        <f>HYPERLINK("https://projectreporter.nih.gov/project_info_description.cfm?aid=9591665","Occupational Health Internship Program")</f>
        <v>Occupational Health Internship Program</v>
      </c>
      <c r="D62" s="5" t="s">
        <v>66</v>
      </c>
      <c r="E62" s="5" t="s">
        <v>67</v>
      </c>
      <c r="F62" s="6" t="s">
        <v>114</v>
      </c>
      <c r="G62" s="6" t="s">
        <v>195</v>
      </c>
      <c r="H62" s="5" t="s">
        <v>44</v>
      </c>
      <c r="I62" s="5" t="s">
        <v>61</v>
      </c>
      <c r="J62" s="5" t="s">
        <v>61</v>
      </c>
    </row>
    <row r="63" spans="1:10" ht="38.25" x14ac:dyDescent="0.2">
      <c r="A63" s="4" t="str">
        <f>HYPERLINK("https://projectreporter.nih.gov/project_info_details.cfm?aid=9527072","5T03OH009221-12")</f>
        <v>5T03OH009221-12</v>
      </c>
      <c r="B63" s="5">
        <v>9221</v>
      </c>
      <c r="C63" s="4" t="str">
        <f>HYPERLINK("https://projectreporter.nih.gov/project_info_description.cfm?aid=9527072","Innovative Training Experiences for Occupational Medicine Residents in Non-Urban and Agricultural Settings")</f>
        <v>Innovative Training Experiences for Occupational Medicine Residents in Non-Urban and Agricultural Settings</v>
      </c>
      <c r="D63" s="5" t="s">
        <v>72</v>
      </c>
      <c r="E63" s="5" t="s">
        <v>73</v>
      </c>
      <c r="F63" s="6" t="s">
        <v>196</v>
      </c>
      <c r="G63" s="6" t="s">
        <v>20</v>
      </c>
      <c r="H63" s="5" t="s">
        <v>21</v>
      </c>
      <c r="I63" s="5" t="s">
        <v>61</v>
      </c>
      <c r="J63" s="5" t="s">
        <v>61</v>
      </c>
    </row>
    <row r="64" spans="1:10" ht="25.5" x14ac:dyDescent="0.2">
      <c r="A64" s="4" t="str">
        <f>HYPERLINK("https://projectreporter.nih.gov/project_info_details.cfm?aid=9538519","5T42OH009229-12")</f>
        <v>5T42OH009229-12</v>
      </c>
      <c r="B64" s="5">
        <v>9229</v>
      </c>
      <c r="C64" s="4" t="str">
        <f>HYPERLINK("https://projectreporter.nih.gov/project_info_description.cfm?aid=9538519","Mountain and Plains Education and Research Center")</f>
        <v>Mountain and Plains Education and Research Center</v>
      </c>
      <c r="D64" s="5" t="s">
        <v>72</v>
      </c>
      <c r="E64" s="5" t="s">
        <v>73</v>
      </c>
      <c r="F64" s="6" t="s">
        <v>197</v>
      </c>
      <c r="G64" s="6" t="s">
        <v>198</v>
      </c>
      <c r="H64" s="5" t="s">
        <v>50</v>
      </c>
      <c r="I64" s="5" t="s">
        <v>61</v>
      </c>
      <c r="J64" s="5" t="s">
        <v>61</v>
      </c>
    </row>
    <row r="65" spans="1:10" ht="25.5" x14ac:dyDescent="0.2">
      <c r="A65" s="4" t="str">
        <f>HYPERLINK("https://projectreporter.nih.gov/project_info_details.cfm?aid=9542111","5T03OH009230-12")</f>
        <v>5T03OH009230-12</v>
      </c>
      <c r="B65" s="5">
        <v>9230</v>
      </c>
      <c r="C65" s="4" t="str">
        <f>HYPERLINK("https://projectreporter.nih.gov/project_info_description.cfm?aid=9542111","Emergency Responder Training Program")</f>
        <v>Emergency Responder Training Program</v>
      </c>
      <c r="D65" s="5" t="s">
        <v>62</v>
      </c>
      <c r="E65" s="5" t="s">
        <v>63</v>
      </c>
      <c r="F65" s="6" t="s">
        <v>199</v>
      </c>
      <c r="G65" s="6" t="s">
        <v>200</v>
      </c>
      <c r="H65" s="5" t="s">
        <v>201</v>
      </c>
      <c r="I65" s="5" t="s">
        <v>61</v>
      </c>
      <c r="J65" s="5" t="s">
        <v>61</v>
      </c>
    </row>
    <row r="66" spans="1:10" ht="25.5" x14ac:dyDescent="0.2">
      <c r="A66" s="4" t="str">
        <f>HYPERLINK("https://projectreporter.nih.gov/project_info_details.cfm?aid=9518454","5T03OH009406-11")</f>
        <v>5T03OH009406-11</v>
      </c>
      <c r="B66" s="5">
        <v>9406</v>
      </c>
      <c r="C66" s="4" t="str">
        <f>HYPERLINK("https://projectreporter.nih.gov/project_info_description.cfm?aid=9518454","Meharry Occupational Medicine Residency Training Program")</f>
        <v>Meharry Occupational Medicine Residency Training Program</v>
      </c>
      <c r="D66" s="5" t="s">
        <v>56</v>
      </c>
      <c r="E66" s="5" t="s">
        <v>57</v>
      </c>
      <c r="F66" s="6" t="s">
        <v>202</v>
      </c>
      <c r="G66" s="6" t="s">
        <v>203</v>
      </c>
      <c r="H66" s="5" t="s">
        <v>204</v>
      </c>
      <c r="I66" s="5" t="s">
        <v>61</v>
      </c>
      <c r="J66" s="5" t="s">
        <v>61</v>
      </c>
    </row>
    <row r="67" spans="1:10" ht="38.25" x14ac:dyDescent="0.2">
      <c r="A67" s="4" t="str">
        <f>HYPERLINK("https://projectreporter.nih.gov/project_info_details.cfm?aid=9591487","2T03OH009410-09A1")</f>
        <v>2T03OH009410-09A1</v>
      </c>
      <c r="B67" s="5">
        <v>9410</v>
      </c>
      <c r="C67" s="4" t="str">
        <f>HYPERLINK("https://projectreporter.nih.gov/project_info_description.cfm?aid=9591487","Texas A&amp;M University Health Science Center Occupational Safety and Health Training Center")</f>
        <v>Texas A&amp;M University Health Science Center Occupational Safety and Health Training Center</v>
      </c>
      <c r="D67" s="5" t="s">
        <v>66</v>
      </c>
      <c r="E67" s="5" t="s">
        <v>67</v>
      </c>
      <c r="F67" s="6" t="s">
        <v>205</v>
      </c>
      <c r="G67" s="6" t="s">
        <v>206</v>
      </c>
      <c r="H67" s="5" t="s">
        <v>21</v>
      </c>
      <c r="I67" s="5" t="s">
        <v>61</v>
      </c>
      <c r="J67" s="5" t="s">
        <v>61</v>
      </c>
    </row>
    <row r="68" spans="1:10" ht="25.5" x14ac:dyDescent="0.2">
      <c r="A68" s="4" t="str">
        <f>HYPERLINK("https://projectreporter.nih.gov/project_info_details.cfm?aid=9518455","5U54OH009568-10")</f>
        <v>5U54OH009568-10</v>
      </c>
      <c r="B68" s="5">
        <v>9568</v>
      </c>
      <c r="C68" s="4" t="str">
        <f>HYPERLINK("https://projectreporter.nih.gov/project_info_description.cfm?aid=9518455","National Children's Center")</f>
        <v>National Children's Center</v>
      </c>
      <c r="D68" s="5" t="s">
        <v>207</v>
      </c>
      <c r="E68" s="5" t="s">
        <v>208</v>
      </c>
      <c r="F68" s="6" t="s">
        <v>209</v>
      </c>
      <c r="G68" s="6" t="s">
        <v>210</v>
      </c>
      <c r="H68" s="5" t="s">
        <v>60</v>
      </c>
      <c r="I68" s="5" t="s">
        <v>22</v>
      </c>
      <c r="J68" s="5" t="s">
        <v>37</v>
      </c>
    </row>
    <row r="69" spans="1:10" ht="25.5" x14ac:dyDescent="0.2">
      <c r="A69" s="4" t="str">
        <f>HYPERLINK("https://projectreporter.nih.gov/project_info_details.cfm?aid=9590227","2T03OH009631-09")</f>
        <v>2T03OH009631-09</v>
      </c>
      <c r="B69" s="5">
        <v>9631</v>
      </c>
      <c r="C69" s="4" t="str">
        <f>HYPERLINK("https://projectreporter.nih.gov/project_info_description.cfm?aid=9590227","Graduate Industrial Hygiene Training Program Grant, University of Arizona")</f>
        <v>Graduate Industrial Hygiene Training Program Grant, University of Arizona</v>
      </c>
      <c r="D69" s="5" t="s">
        <v>66</v>
      </c>
      <c r="E69" s="5" t="s">
        <v>67</v>
      </c>
      <c r="F69" s="6" t="s">
        <v>211</v>
      </c>
      <c r="G69" s="6" t="s">
        <v>212</v>
      </c>
      <c r="H69" s="5" t="s">
        <v>213</v>
      </c>
      <c r="I69" s="5" t="s">
        <v>61</v>
      </c>
      <c r="J69" s="5" t="s">
        <v>61</v>
      </c>
    </row>
    <row r="70" spans="1:10" ht="25.5" x14ac:dyDescent="0.2">
      <c r="A70" s="4" t="str">
        <f>HYPERLINK("https://projectreporter.nih.gov/project_info_details.cfm?aid=9550854","5U60OH009762-10")</f>
        <v>5U60OH009762-10</v>
      </c>
      <c r="B70" s="5">
        <v>9762</v>
      </c>
      <c r="C70" s="4" t="str">
        <f>HYPERLINK("https://projectreporter.nih.gov/project_info_description.cfm?aid=9550854","NATL CTR FOR CONSTRUCTION SAFETY &amp; HEALTH RESEARCH")</f>
        <v>NATL CTR FOR CONSTRUCTION SAFETY &amp; HEALTH RESEARCH</v>
      </c>
      <c r="D70" s="5" t="s">
        <v>214</v>
      </c>
      <c r="E70" s="5" t="s">
        <v>215</v>
      </c>
      <c r="F70" s="6" t="s">
        <v>216</v>
      </c>
      <c r="G70" s="6" t="s">
        <v>217</v>
      </c>
      <c r="H70" s="5" t="s">
        <v>81</v>
      </c>
      <c r="I70" s="5" t="s">
        <v>218</v>
      </c>
      <c r="J70" s="5" t="s">
        <v>61</v>
      </c>
    </row>
    <row r="71" spans="1:10" ht="25.5" x14ac:dyDescent="0.2">
      <c r="A71" s="4" t="str">
        <f>HYPERLINK("https://projectreporter.nih.gov/project_info_details.cfm?aid=9515573","5R01OH009783-06")</f>
        <v>5R01OH009783-06</v>
      </c>
      <c r="B71" s="5">
        <v>9783</v>
      </c>
      <c r="C71" s="4" t="str">
        <f>HYPERLINK("https://projectreporter.nih.gov/project_info_description.cfm?aid=9515573","Advanced Sampler for Measuring Exposure to Biological Aerosols")</f>
        <v>Advanced Sampler for Measuring Exposure to Biological Aerosols</v>
      </c>
      <c r="D71" s="5" t="s">
        <v>219</v>
      </c>
      <c r="E71" s="5" t="s">
        <v>220</v>
      </c>
      <c r="F71" s="6" t="s">
        <v>221</v>
      </c>
      <c r="G71" s="6" t="s">
        <v>222</v>
      </c>
      <c r="H71" s="5" t="s">
        <v>125</v>
      </c>
      <c r="I71" s="5" t="s">
        <v>61</v>
      </c>
      <c r="J71" s="5" t="s">
        <v>16</v>
      </c>
    </row>
    <row r="72" spans="1:10" ht="25.5" x14ac:dyDescent="0.2">
      <c r="A72" s="4" t="str">
        <f>HYPERLINK("https://projectreporter.nih.gov/project_info_details.cfm?aid=9519580","5R01OH009803-09")</f>
        <v>5R01OH009803-09</v>
      </c>
      <c r="B72" s="5">
        <v>9803</v>
      </c>
      <c r="C72" s="4" t="str">
        <f>HYPERLINK("https://projectreporter.nih.gov/project_info_description.cfm?aid=9519580","Adverse health effects of shift work")</f>
        <v>Adverse health effects of shift work</v>
      </c>
      <c r="D72" s="5" t="s">
        <v>223</v>
      </c>
      <c r="E72" s="5" t="s">
        <v>215</v>
      </c>
      <c r="F72" s="6" t="s">
        <v>224</v>
      </c>
      <c r="G72" s="6" t="s">
        <v>225</v>
      </c>
      <c r="H72" s="5" t="s">
        <v>14</v>
      </c>
      <c r="I72" s="5" t="s">
        <v>61</v>
      </c>
      <c r="J72" s="5" t="s">
        <v>183</v>
      </c>
    </row>
    <row r="73" spans="1:10" ht="25.5" x14ac:dyDescent="0.2">
      <c r="A73" s="4" t="str">
        <f>HYPERLINK("https://projectreporter.nih.gov/project_info_details.cfm?aid=9526917","5T03OH009841-07")</f>
        <v>5T03OH009841-07</v>
      </c>
      <c r="B73" s="5">
        <v>9841</v>
      </c>
      <c r="C73" s="4" t="str">
        <f>HYPERLINK("https://projectreporter.nih.gov/project_info_description.cfm?aid=9526917","Ohio University Training Project Grant in Occupational Safety")</f>
        <v>Ohio University Training Project Grant in Occupational Safety</v>
      </c>
      <c r="D73" s="5" t="s">
        <v>72</v>
      </c>
      <c r="E73" s="5" t="s">
        <v>73</v>
      </c>
      <c r="F73" s="6" t="s">
        <v>226</v>
      </c>
      <c r="G73" s="6" t="s">
        <v>227</v>
      </c>
      <c r="H73" s="5" t="s">
        <v>89</v>
      </c>
      <c r="I73" s="5" t="s">
        <v>61</v>
      </c>
      <c r="J73" s="5" t="s">
        <v>61</v>
      </c>
    </row>
    <row r="74" spans="1:10" ht="25.5" x14ac:dyDescent="0.2">
      <c r="A74" s="4" t="str">
        <f>HYPERLINK("https://projectreporter.nih.gov/project_info_details.cfm?aid=9477948","5U60OH009855-09")</f>
        <v>5U60OH009855-09</v>
      </c>
      <c r="B74" s="5">
        <v>9855</v>
      </c>
      <c r="C74" s="4" t="str">
        <f>HYPERLINK("https://projectreporter.nih.gov/project_info_description.cfm?aid=9477948","Minnesota Occupational Health and Safety Surveillance Program")</f>
        <v>Minnesota Occupational Health and Safety Surveillance Program</v>
      </c>
      <c r="D74" s="5" t="s">
        <v>72</v>
      </c>
      <c r="E74" s="5" t="s">
        <v>73</v>
      </c>
      <c r="F74" s="6" t="s">
        <v>228</v>
      </c>
      <c r="G74" s="6" t="s">
        <v>229</v>
      </c>
      <c r="H74" s="5" t="s">
        <v>93</v>
      </c>
      <c r="I74" s="5" t="s">
        <v>61</v>
      </c>
      <c r="J74" s="5" t="s">
        <v>37</v>
      </c>
    </row>
    <row r="75" spans="1:10" ht="25.5" x14ac:dyDescent="0.2">
      <c r="A75" s="4" t="str">
        <f>HYPERLINK("https://projectreporter.nih.gov/project_info_details.cfm?aid=9519581","5R01OH009939-07")</f>
        <v>5R01OH009939-07</v>
      </c>
      <c r="B75" s="5">
        <v>9939</v>
      </c>
      <c r="C75" s="4" t="str">
        <f>HYPERLINK("https://projectreporter.nih.gov/project_info_description.cfm?aid=9519581","Occupational Exposure to PM2.5 and Cardiovascular Disease(CVD)")</f>
        <v>Occupational Exposure to PM2.5 and Cardiovascular Disease(CVD)</v>
      </c>
      <c r="D75" s="5" t="s">
        <v>230</v>
      </c>
      <c r="E75" s="5" t="s">
        <v>231</v>
      </c>
      <c r="F75" s="6" t="s">
        <v>232</v>
      </c>
      <c r="G75" s="6" t="s">
        <v>233</v>
      </c>
      <c r="H75" s="5" t="s">
        <v>44</v>
      </c>
      <c r="I75" s="5" t="s">
        <v>15</v>
      </c>
      <c r="J75" s="5" t="s">
        <v>194</v>
      </c>
    </row>
    <row r="76" spans="1:10" ht="38.25" x14ac:dyDescent="0.2">
      <c r="A76" s="4" t="str">
        <f>HYPERLINK("https://projectreporter.nih.gov/project_info_details.cfm?aid=9542112","5U60OH010014-09")</f>
        <v>5U60OH010014-09</v>
      </c>
      <c r="B76" s="5">
        <v>10014</v>
      </c>
      <c r="C76" s="4" t="str">
        <f>HYPERLINK("https://projectreporter.nih.gov/project_info_description.cfm?aid=9542112","Western Mining Safety &amp; Health Training Resource Center: An Integrated Approach")</f>
        <v>Western Mining Safety &amp; Health Training Resource Center: An Integrated Approach</v>
      </c>
      <c r="D76" s="5" t="s">
        <v>62</v>
      </c>
      <c r="E76" s="5" t="s">
        <v>231</v>
      </c>
      <c r="F76" s="6" t="s">
        <v>211</v>
      </c>
      <c r="G76" s="6" t="s">
        <v>212</v>
      </c>
      <c r="H76" s="5" t="s">
        <v>213</v>
      </c>
      <c r="I76" s="5" t="s">
        <v>234</v>
      </c>
      <c r="J76" s="5" t="s">
        <v>33</v>
      </c>
    </row>
    <row r="77" spans="1:10" ht="25.5" x14ac:dyDescent="0.2">
      <c r="A77" s="4" t="str">
        <f>HYPERLINK("https://projectreporter.nih.gov/project_info_details.cfm?aid=9542113","5U60OH010017-09")</f>
        <v>5U60OH010017-09</v>
      </c>
      <c r="B77" s="5">
        <v>10017</v>
      </c>
      <c r="C77" s="4" t="str">
        <f>HYPERLINK("https://projectreporter.nih.gov/project_info_description.cfm?aid=9542113","Enhanced Safety and Health Training for Western Mine Workers")</f>
        <v>Enhanced Safety and Health Training for Western Mine Workers</v>
      </c>
      <c r="D77" s="5" t="s">
        <v>62</v>
      </c>
      <c r="E77" s="5" t="s">
        <v>231</v>
      </c>
      <c r="F77" s="6" t="s">
        <v>235</v>
      </c>
      <c r="G77" s="6" t="s">
        <v>236</v>
      </c>
      <c r="H77" s="5" t="s">
        <v>50</v>
      </c>
      <c r="I77" s="5" t="s">
        <v>234</v>
      </c>
      <c r="J77" s="5" t="s">
        <v>29</v>
      </c>
    </row>
    <row r="78" spans="1:10" ht="25.5" x14ac:dyDescent="0.2">
      <c r="A78" s="4" t="str">
        <f>HYPERLINK("https://projectreporter.nih.gov/project_info_details.cfm?aid=9471725","5R01OH010094-08")</f>
        <v>5R01OH010094-08</v>
      </c>
      <c r="B78" s="5">
        <v>10094</v>
      </c>
      <c r="C78" s="4" t="str">
        <f>HYPERLINK("https://projectreporter.nih.gov/project_info_description.cfm?aid=9471725","Enhancing State-Based Occupational Health Surveillance Capacity")</f>
        <v>Enhancing State-Based Occupational Health Surveillance Capacity</v>
      </c>
      <c r="D78" s="5" t="s">
        <v>72</v>
      </c>
      <c r="E78" s="5" t="s">
        <v>102</v>
      </c>
      <c r="F78" s="6" t="s">
        <v>237</v>
      </c>
      <c r="G78" s="6" t="s">
        <v>238</v>
      </c>
      <c r="H78" s="5" t="s">
        <v>239</v>
      </c>
      <c r="I78" s="5" t="s">
        <v>61</v>
      </c>
      <c r="J78" s="5" t="s">
        <v>61</v>
      </c>
    </row>
    <row r="79" spans="1:10" ht="38.25" x14ac:dyDescent="0.2">
      <c r="A79" s="4" t="str">
        <f>HYPERLINK("https://projectreporter.nih.gov/project_info_details.cfm?aid=9095127","5R01OH010097-04")</f>
        <v>5R01OH010097-04</v>
      </c>
      <c r="B79" s="5">
        <v>10097</v>
      </c>
      <c r="C79" s="4" t="str">
        <f>HYPERLINK("https://projectreporter.nih.gov/project_info_description.cfm?aid=9095127","Randomized Controlled Trial of  Whole Body Vibration Intervention in Truck Driver")</f>
        <v>Randomized Controlled Trial of  Whole Body Vibration Intervention in Truck Driver</v>
      </c>
      <c r="D79" s="5" t="s">
        <v>240</v>
      </c>
      <c r="E79" s="5" t="s">
        <v>174</v>
      </c>
      <c r="F79" s="6" t="s">
        <v>241</v>
      </c>
      <c r="G79" s="6" t="s">
        <v>242</v>
      </c>
      <c r="H79" s="5" t="s">
        <v>14</v>
      </c>
      <c r="I79" s="5" t="s">
        <v>243</v>
      </c>
      <c r="J79" s="5" t="s">
        <v>244</v>
      </c>
    </row>
    <row r="80" spans="1:10" ht="25.5" x14ac:dyDescent="0.2">
      <c r="A80" s="4" t="str">
        <f>HYPERLINK("https://projectreporter.nih.gov/project_info_details.cfm?aid=9545576","5U19OH010154-08")</f>
        <v>5U19OH010154-08</v>
      </c>
      <c r="B80" s="5">
        <v>10154</v>
      </c>
      <c r="C80" s="4" t="str">
        <f>HYPERLINK("https://projectreporter.nih.gov/project_info_description.cfm?aid=9545576","Oregon Healthy Workforce Center")</f>
        <v>Oregon Healthy Workforce Center</v>
      </c>
      <c r="D80" s="5" t="s">
        <v>24</v>
      </c>
      <c r="E80" s="5" t="s">
        <v>25</v>
      </c>
      <c r="F80" s="6" t="s">
        <v>245</v>
      </c>
      <c r="G80" s="6" t="s">
        <v>246</v>
      </c>
      <c r="H80" s="5" t="s">
        <v>96</v>
      </c>
      <c r="I80" s="5" t="s">
        <v>247</v>
      </c>
      <c r="J80" s="5" t="s">
        <v>183</v>
      </c>
    </row>
    <row r="81" spans="1:10" ht="25.5" x14ac:dyDescent="0.2">
      <c r="A81" s="4" t="str">
        <f>HYPERLINK("https://projectreporter.nih.gov/project_info_details.cfm?aid=9540737","5U54OH010162-08")</f>
        <v>5U54OH010162-08</v>
      </c>
      <c r="B81" s="5">
        <v>10162</v>
      </c>
      <c r="C81" s="4" t="str">
        <f>HYPERLINK("https://projectreporter.nih.gov/project_info_description.cfm?aid=9540737","Central States Center for Agricultural Safety and Health")</f>
        <v>Central States Center for Agricultural Safety and Health</v>
      </c>
      <c r="D81" s="5" t="s">
        <v>24</v>
      </c>
      <c r="E81" s="5" t="s">
        <v>25</v>
      </c>
      <c r="F81" s="6" t="s">
        <v>248</v>
      </c>
      <c r="G81" s="6" t="s">
        <v>249</v>
      </c>
      <c r="H81" s="5" t="s">
        <v>250</v>
      </c>
      <c r="I81" s="5" t="s">
        <v>22</v>
      </c>
      <c r="J81" s="5" t="s">
        <v>45</v>
      </c>
    </row>
    <row r="82" spans="1:10" ht="38.25" x14ac:dyDescent="0.2">
      <c r="A82" s="4" t="str">
        <f>HYPERLINK("https://projectreporter.nih.gov/project_info_details.cfm?aid=9540738","5U54OH010170-08")</f>
        <v>5U54OH010170-08</v>
      </c>
      <c r="B82" s="5">
        <v>10170</v>
      </c>
      <c r="C82" s="4" t="str">
        <f>HYPERLINK("https://projectreporter.nih.gov/project_info_description.cfm?aid=9540738","UMASH: Assessing and Preventing Occupational Injuries in Animal Agriculture")</f>
        <v>UMASH: Assessing and Preventing Occupational Injuries in Animal Agriculture</v>
      </c>
      <c r="D82" s="5" t="s">
        <v>17</v>
      </c>
      <c r="E82" s="5" t="s">
        <v>18</v>
      </c>
      <c r="F82" s="6" t="s">
        <v>251</v>
      </c>
      <c r="G82" s="6" t="s">
        <v>92</v>
      </c>
      <c r="H82" s="5" t="s">
        <v>93</v>
      </c>
      <c r="I82" s="5" t="s">
        <v>22</v>
      </c>
      <c r="J82" s="5" t="s">
        <v>252</v>
      </c>
    </row>
    <row r="83" spans="1:10" ht="25.5" x14ac:dyDescent="0.2">
      <c r="A83" s="4" t="str">
        <f>HYPERLINK("https://projectreporter.nih.gov/project_info_details.cfm?aid=9538521","5T42OH010278-07")</f>
        <v>5T42OH010278-07</v>
      </c>
      <c r="B83" s="5">
        <v>10278</v>
      </c>
      <c r="C83" s="4" t="str">
        <f>HYPERLINK("https://projectreporter.nih.gov/project_info_description.cfm?aid=9538521","Central Appalachian Region Educational Research Center")</f>
        <v>Central Appalachian Region Educational Research Center</v>
      </c>
      <c r="D83" s="5" t="s">
        <v>51</v>
      </c>
      <c r="E83" s="5" t="s">
        <v>102</v>
      </c>
      <c r="F83" s="6" t="s">
        <v>34</v>
      </c>
      <c r="G83" s="6" t="s">
        <v>35</v>
      </c>
      <c r="H83" s="5" t="s">
        <v>36</v>
      </c>
      <c r="I83" s="5" t="s">
        <v>61</v>
      </c>
      <c r="J83" s="5" t="s">
        <v>61</v>
      </c>
    </row>
    <row r="84" spans="1:10" ht="25.5" x14ac:dyDescent="0.2">
      <c r="A84" s="4" t="str">
        <f>HYPERLINK("https://projectreporter.nih.gov/project_info_details.cfm?aid=9547148","5R44OH010382-03")</f>
        <v>5R44OH010382-03</v>
      </c>
      <c r="B84" s="5">
        <v>10382</v>
      </c>
      <c r="C84" s="4" t="str">
        <f>HYPERLINK("https://projectreporter.nih.gov/project_info_description.cfm?aid=9547148","Light-alerting Personal Noise Dosimeter")</f>
        <v>Light-alerting Personal Noise Dosimeter</v>
      </c>
      <c r="D84" s="5" t="s">
        <v>253</v>
      </c>
      <c r="E84" s="5" t="s">
        <v>215</v>
      </c>
      <c r="F84" s="6" t="s">
        <v>254</v>
      </c>
      <c r="G84" s="6" t="s">
        <v>255</v>
      </c>
      <c r="H84" s="5" t="s">
        <v>44</v>
      </c>
      <c r="I84" s="5" t="s">
        <v>234</v>
      </c>
      <c r="J84" s="5" t="s">
        <v>256</v>
      </c>
    </row>
    <row r="85" spans="1:10" ht="38.25" x14ac:dyDescent="0.2">
      <c r="A85" s="6" t="s">
        <v>439</v>
      </c>
      <c r="B85" s="5">
        <v>10461</v>
      </c>
      <c r="C85" s="6" t="s">
        <v>440</v>
      </c>
      <c r="D85" s="20">
        <v>42979</v>
      </c>
      <c r="E85" s="20">
        <v>44074</v>
      </c>
      <c r="F85" s="6" t="s">
        <v>257</v>
      </c>
      <c r="G85" s="6" t="s">
        <v>258</v>
      </c>
      <c r="H85" s="21" t="s">
        <v>441</v>
      </c>
      <c r="I85" s="5" t="s">
        <v>61</v>
      </c>
      <c r="J85" s="5" t="s">
        <v>61</v>
      </c>
    </row>
    <row r="86" spans="1:10" ht="38.25" x14ac:dyDescent="0.2">
      <c r="A86" s="4" t="str">
        <f>HYPERLINK("https://projectreporter.nih.gov/project_info_details.cfm?aid=9335679","5R44OH010515-03")</f>
        <v>5R44OH010515-03</v>
      </c>
      <c r="B86" s="5">
        <v>10515</v>
      </c>
      <c r="C86" s="4" t="str">
        <f>HYPERLINK("https://projectreporter.nih.gov/project_info_description.cfm?aid=9335679","Size-Resolved Measurement of Ultrafine and Nanometer Particle Concentrations")</f>
        <v>Size-Resolved Measurement of Ultrafine and Nanometer Particle Concentrations</v>
      </c>
      <c r="D86" s="5" t="s">
        <v>24</v>
      </c>
      <c r="E86" s="5" t="s">
        <v>174</v>
      </c>
      <c r="F86" s="6" t="s">
        <v>259</v>
      </c>
      <c r="G86" s="6" t="s">
        <v>260</v>
      </c>
      <c r="H86" s="5" t="s">
        <v>44</v>
      </c>
      <c r="I86" s="5" t="s">
        <v>15</v>
      </c>
      <c r="J86" s="5" t="s">
        <v>16</v>
      </c>
    </row>
    <row r="87" spans="1:10" ht="38.25" x14ac:dyDescent="0.2">
      <c r="A87" s="4" t="str">
        <f>HYPERLINK("https://projectreporter.nih.gov/project_info_details.cfm?aid=9320027","5R01OH010532-05")</f>
        <v>5R01OH010532-05</v>
      </c>
      <c r="B87" s="5">
        <v>10532</v>
      </c>
      <c r="C87" s="4" t="str">
        <f>HYPERLINK("https://projectreporter.nih.gov/project_info_description.cfm?aid=9320027","Technical Education: Bridging the Gap in Health and Safety in Small Businesses")</f>
        <v>Technical Education: Bridging the Gap in Health and Safety in Small Businesses</v>
      </c>
      <c r="D87" s="5" t="s">
        <v>261</v>
      </c>
      <c r="E87" s="5" t="s">
        <v>174</v>
      </c>
      <c r="F87" s="6" t="s">
        <v>262</v>
      </c>
      <c r="G87" s="6" t="s">
        <v>263</v>
      </c>
      <c r="H87" s="5" t="s">
        <v>93</v>
      </c>
      <c r="I87" s="5" t="s">
        <v>264</v>
      </c>
      <c r="J87" s="5" t="s">
        <v>61</v>
      </c>
    </row>
    <row r="88" spans="1:10" ht="25.5" x14ac:dyDescent="0.2">
      <c r="A88" s="4" t="str">
        <f>HYPERLINK("https://projectreporter.nih.gov/project_info_details.cfm?aid=9293134","5R01OH010533-04")</f>
        <v>5R01OH010533-04</v>
      </c>
      <c r="B88" s="5">
        <v>10533</v>
      </c>
      <c r="C88" s="4" t="str">
        <f>HYPERLINK("https://projectreporter.nih.gov/project_info_description.cfm?aid=9293134","An Inexpensive Monitoring Network to Assess Workplace Aerosol Exposures")</f>
        <v>An Inexpensive Monitoring Network to Assess Workplace Aerosol Exposures</v>
      </c>
      <c r="D88" s="5" t="s">
        <v>214</v>
      </c>
      <c r="E88" s="5" t="s">
        <v>174</v>
      </c>
      <c r="F88" s="6" t="s">
        <v>265</v>
      </c>
      <c r="G88" s="6" t="s">
        <v>80</v>
      </c>
      <c r="H88" s="5" t="s">
        <v>81</v>
      </c>
      <c r="I88" s="5" t="s">
        <v>15</v>
      </c>
      <c r="J88" s="5" t="s">
        <v>16</v>
      </c>
    </row>
    <row r="89" spans="1:10" ht="38.25" x14ac:dyDescent="0.2">
      <c r="A89" s="4" t="str">
        <f>HYPERLINK("https://projectreporter.nih.gov/project_info_details.cfm?aid=9302348","5R01OH010536-04")</f>
        <v>5R01OH010536-04</v>
      </c>
      <c r="B89" s="5">
        <v>10536</v>
      </c>
      <c r="C89" s="4" t="str">
        <f>HYPERLINK("https://projectreporter.nih.gov/project_info_description.cfm?aid=9302348","Multi-tasking to Hyper-tasking: Investigating the Impact of Next Generation 911")</f>
        <v>Multi-tasking to Hyper-tasking: Investigating the Impact of Next Generation 911</v>
      </c>
      <c r="D89" s="5" t="s">
        <v>214</v>
      </c>
      <c r="E89" s="5" t="s">
        <v>174</v>
      </c>
      <c r="F89" s="6" t="s">
        <v>266</v>
      </c>
      <c r="G89" s="6" t="s">
        <v>31</v>
      </c>
      <c r="H89" s="5" t="s">
        <v>32</v>
      </c>
      <c r="I89" s="5" t="s">
        <v>267</v>
      </c>
      <c r="J89" s="5" t="s">
        <v>185</v>
      </c>
    </row>
    <row r="90" spans="1:10" ht="25.5" x14ac:dyDescent="0.2">
      <c r="A90" s="4" t="str">
        <f>HYPERLINK("https://projectreporter.nih.gov/project_info_details.cfm?aid=9302349","5R01OH010539-04")</f>
        <v>5R01OH010539-04</v>
      </c>
      <c r="B90" s="5">
        <v>10539</v>
      </c>
      <c r="C90" s="4" t="str">
        <f>HYPERLINK("https://projectreporter.nih.gov/project_info_description.cfm?aid=9302349","Heavy Lifting and Risk of Retinal Detachment:  A Case Control Study")</f>
        <v>Heavy Lifting and Risk of Retinal Detachment:  A Case Control Study</v>
      </c>
      <c r="D90" s="5" t="s">
        <v>214</v>
      </c>
      <c r="E90" s="5" t="s">
        <v>174</v>
      </c>
      <c r="F90" s="6" t="s">
        <v>78</v>
      </c>
      <c r="G90" s="6" t="s">
        <v>54</v>
      </c>
      <c r="H90" s="5" t="s">
        <v>14</v>
      </c>
      <c r="I90" s="5" t="s">
        <v>268</v>
      </c>
      <c r="J90" s="5" t="s">
        <v>37</v>
      </c>
    </row>
    <row r="91" spans="1:10" ht="38.25" x14ac:dyDescent="0.2">
      <c r="A91" s="4" t="str">
        <f>HYPERLINK("https://projectreporter.nih.gov/project_info_details.cfm?aid=9293136","5R01OH010582-04")</f>
        <v>5R01OH010582-04</v>
      </c>
      <c r="B91" s="5">
        <v>10582</v>
      </c>
      <c r="C91" s="4" t="str">
        <f>HYPERLINK("https://projectreporter.nih.gov/project_info_description.cfm?aid=9293136","Randomized Controlled Trial to Improve Oncology Nurses' Protective Equipment Use")</f>
        <v>Randomized Controlled Trial to Improve Oncology Nurses' Protective Equipment Use</v>
      </c>
      <c r="D91" s="5" t="s">
        <v>51</v>
      </c>
      <c r="E91" s="5" t="s">
        <v>52</v>
      </c>
      <c r="F91" s="6" t="s">
        <v>269</v>
      </c>
      <c r="G91" s="6" t="s">
        <v>107</v>
      </c>
      <c r="H91" s="5" t="s">
        <v>108</v>
      </c>
      <c r="I91" s="5" t="s">
        <v>55</v>
      </c>
      <c r="J91" s="5" t="s">
        <v>194</v>
      </c>
    </row>
    <row r="92" spans="1:10" ht="25.5" x14ac:dyDescent="0.2">
      <c r="A92" s="4" t="str">
        <f>HYPERLINK("https://projectreporter.nih.gov/project_info_details.cfm?aid=9813542","5R01OH010587-05")</f>
        <v>5R01OH010587-05</v>
      </c>
      <c r="B92" s="5">
        <v>10587</v>
      </c>
      <c r="C92" s="4" t="str">
        <f>HYPERLINK("https://projectreporter.nih.gov/project_info_description.cfm?aid=9813542","OCCUPATIONAL SAFETY AND HEALTH RESEARCH (R01)")</f>
        <v>OCCUPATIONAL SAFETY AND HEALTH RESEARCH (R01)</v>
      </c>
      <c r="D92" s="5" t="s">
        <v>270</v>
      </c>
      <c r="E92" s="5" t="s">
        <v>215</v>
      </c>
      <c r="F92" s="6" t="s">
        <v>271</v>
      </c>
      <c r="G92" s="6" t="s">
        <v>272</v>
      </c>
      <c r="H92" s="5" t="s">
        <v>153</v>
      </c>
      <c r="I92" s="5" t="s">
        <v>273</v>
      </c>
      <c r="J92" s="5" t="s">
        <v>244</v>
      </c>
    </row>
    <row r="93" spans="1:10" ht="38.25" x14ac:dyDescent="0.2">
      <c r="A93" s="4" t="str">
        <f>HYPERLINK("https://projectreporter.nih.gov/project_info_details.cfm?aid=9542115","5T03OH010637-05")</f>
        <v>5T03OH010637-05</v>
      </c>
      <c r="B93" s="5">
        <v>10637</v>
      </c>
      <c r="C93" s="4" t="str">
        <f>HYPERLINK("https://projectreporter.nih.gov/project_info_description.cfm?aid=9542115","The Environmental Health Science Program at Western Kentucky University")</f>
        <v>The Environmental Health Science Program at Western Kentucky University</v>
      </c>
      <c r="D93" s="5" t="s">
        <v>62</v>
      </c>
      <c r="E93" s="5" t="s">
        <v>63</v>
      </c>
      <c r="F93" s="6" t="s">
        <v>274</v>
      </c>
      <c r="G93" s="6" t="s">
        <v>275</v>
      </c>
      <c r="H93" s="5" t="s">
        <v>36</v>
      </c>
      <c r="I93" s="5" t="s">
        <v>61</v>
      </c>
      <c r="J93" s="5" t="s">
        <v>61</v>
      </c>
    </row>
    <row r="94" spans="1:10" ht="38.25" x14ac:dyDescent="0.2">
      <c r="A94" s="4" t="str">
        <f>HYPERLINK("https://projectreporter.nih.gov/project_info_details.cfm?aid=9519583","5R01OH010662-04")</f>
        <v>5R01OH010662-04</v>
      </c>
      <c r="B94" s="5">
        <v>10662</v>
      </c>
      <c r="C94" s="4" t="str">
        <f>HYPERLINK("https://projectreporter.nih.gov/project_info_description.cfm?aid=9519583","A New Paradigm for Workplace Air Sampling and Cost-Effective Exposure Assessment")</f>
        <v>A New Paradigm for Workplace Air Sampling and Cost-Effective Exposure Assessment</v>
      </c>
      <c r="D94" s="5" t="s">
        <v>276</v>
      </c>
      <c r="E94" s="5" t="s">
        <v>215</v>
      </c>
      <c r="F94" s="6" t="s">
        <v>277</v>
      </c>
      <c r="G94" s="6" t="s">
        <v>49</v>
      </c>
      <c r="H94" s="5" t="s">
        <v>50</v>
      </c>
      <c r="I94" s="5" t="s">
        <v>61</v>
      </c>
      <c r="J94" s="5" t="s">
        <v>16</v>
      </c>
    </row>
    <row r="95" spans="1:10" ht="38.25" x14ac:dyDescent="0.2">
      <c r="A95" s="4" t="str">
        <f>HYPERLINK("https://projectreporter.nih.gov/project_info_details.cfm?aid=9513321","5R01OH010665-04")</f>
        <v>5R01OH010665-04</v>
      </c>
      <c r="B95" s="5">
        <v>10665</v>
      </c>
      <c r="C95" s="4" t="str">
        <f>HYPERLINK("https://projectreporter.nih.gov/project_info_description.cfm?aid=9513321","Sonographic tissue morphology in early stage work-related median nerve pathology")</f>
        <v>Sonographic tissue morphology in early stage work-related median nerve pathology</v>
      </c>
      <c r="D95" s="5" t="s">
        <v>278</v>
      </c>
      <c r="E95" s="5" t="s">
        <v>208</v>
      </c>
      <c r="F95" s="6" t="s">
        <v>279</v>
      </c>
      <c r="G95" s="6" t="s">
        <v>280</v>
      </c>
      <c r="H95" s="5" t="s">
        <v>44</v>
      </c>
      <c r="I95" s="5" t="s">
        <v>55</v>
      </c>
      <c r="J95" s="5" t="s">
        <v>244</v>
      </c>
    </row>
    <row r="96" spans="1:10" ht="38.25" x14ac:dyDescent="0.2">
      <c r="A96" s="4" t="str">
        <f>HYPERLINK("https://projectreporter.nih.gov/project_info_details.cfm?aid=9293140","5R01OH010666-04")</f>
        <v>5R01OH010666-04</v>
      </c>
      <c r="B96" s="5">
        <v>10666</v>
      </c>
      <c r="C96" s="4" t="str">
        <f>HYPERLINK("https://projectreporter.nih.gov/project_info_description.cfm?aid=9293140","Farm Theater: A Novel Safety Strategy Approach for Agricultural Communities")</f>
        <v>Farm Theater: A Novel Safety Strategy Approach for Agricultural Communities</v>
      </c>
      <c r="D96" s="5" t="s">
        <v>214</v>
      </c>
      <c r="E96" s="5" t="s">
        <v>174</v>
      </c>
      <c r="F96" s="6" t="s">
        <v>281</v>
      </c>
      <c r="G96" s="6" t="s">
        <v>35</v>
      </c>
      <c r="H96" s="5" t="s">
        <v>36</v>
      </c>
      <c r="I96" s="5" t="s">
        <v>22</v>
      </c>
      <c r="J96" s="5" t="s">
        <v>37</v>
      </c>
    </row>
    <row r="97" spans="1:10" ht="38.25" x14ac:dyDescent="0.2">
      <c r="A97" s="4" t="str">
        <f>HYPERLINK("https://projectreporter.nih.gov/project_info_details.cfm?aid=9515574","5R01OH010668-04")</f>
        <v>5R01OH010668-04</v>
      </c>
      <c r="B97" s="5">
        <v>10668</v>
      </c>
      <c r="C97" s="4" t="str">
        <f>HYPERLINK("https://projectreporter.nih.gov/project_info_description.cfm?aid=9515574","Lighting interventions to reduce circadian disruption in rotating shift workers")</f>
        <v>Lighting interventions to reduce circadian disruption in rotating shift workers</v>
      </c>
      <c r="D97" s="5" t="s">
        <v>276</v>
      </c>
      <c r="E97" s="5" t="s">
        <v>215</v>
      </c>
      <c r="F97" s="6" t="s">
        <v>282</v>
      </c>
      <c r="G97" s="6" t="s">
        <v>283</v>
      </c>
      <c r="H97" s="5" t="s">
        <v>28</v>
      </c>
      <c r="I97" s="5" t="s">
        <v>55</v>
      </c>
      <c r="J97" s="5" t="s">
        <v>183</v>
      </c>
    </row>
    <row r="98" spans="1:10" ht="25.5" x14ac:dyDescent="0.2">
      <c r="A98" s="4" t="str">
        <f>HYPERLINK("https://projectreporter.nih.gov/project_info_details.cfm?aid=9480004","5R01OH010745-04")</f>
        <v>5R01OH010745-04</v>
      </c>
      <c r="B98" s="5">
        <v>10745</v>
      </c>
      <c r="C98" s="4" t="str">
        <f>HYPERLINK("https://projectreporter.nih.gov/project_info_description.cfm?aid=9480004","Mortality and renal-disease among lead-exposed workers")</f>
        <v>Mortality and renal-disease among lead-exposed workers</v>
      </c>
      <c r="D98" s="5" t="s">
        <v>284</v>
      </c>
      <c r="E98" s="5" t="s">
        <v>285</v>
      </c>
      <c r="F98" s="6" t="s">
        <v>286</v>
      </c>
      <c r="G98" s="6" t="s">
        <v>287</v>
      </c>
      <c r="H98" s="5" t="s">
        <v>239</v>
      </c>
      <c r="I98" s="5" t="s">
        <v>176</v>
      </c>
      <c r="J98" s="5" t="s">
        <v>194</v>
      </c>
    </row>
    <row r="99" spans="1:10" ht="38.25" x14ac:dyDescent="0.2">
      <c r="A99" s="4" t="str">
        <f>HYPERLINK("https://projectreporter.nih.gov/project_info_details.cfm?aid=9310065","5K01OH010757-03")</f>
        <v>5K01OH010757-03</v>
      </c>
      <c r="B99" s="5">
        <v>10757</v>
      </c>
      <c r="C99" s="4" t="str">
        <f>HYPERLINK("https://projectreporter.nih.gov/project_info_description.cfm?aid=9310065","Preventing Occupational Infections in Healthcare Professionals Using Risk Models")</f>
        <v>Preventing Occupational Infections in Healthcare Professionals Using Risk Models</v>
      </c>
      <c r="D99" s="5" t="s">
        <v>276</v>
      </c>
      <c r="E99" s="5" t="s">
        <v>174</v>
      </c>
      <c r="F99" s="6" t="s">
        <v>288</v>
      </c>
      <c r="G99" s="6" t="s">
        <v>289</v>
      </c>
      <c r="H99" s="5" t="s">
        <v>239</v>
      </c>
      <c r="I99" s="5" t="s">
        <v>55</v>
      </c>
      <c r="J99" s="5" t="s">
        <v>290</v>
      </c>
    </row>
    <row r="100" spans="1:10" ht="25.5" x14ac:dyDescent="0.2">
      <c r="A100" s="4" t="str">
        <f>HYPERLINK("https://projectreporter.nih.gov/project_info_details.cfm?aid=9480005","5R01OH010791-04")</f>
        <v>5R01OH010791-04</v>
      </c>
      <c r="B100" s="5">
        <v>10791</v>
      </c>
      <c r="C100" s="4" t="str">
        <f>HYPERLINK("https://projectreporter.nih.gov/project_info_description.cfm?aid=9480005","Preventing Lyme Disease Exposure Among Outdoor Workers")</f>
        <v>Preventing Lyme Disease Exposure Among Outdoor Workers</v>
      </c>
      <c r="D100" s="5" t="s">
        <v>276</v>
      </c>
      <c r="E100" s="5" t="s">
        <v>215</v>
      </c>
      <c r="F100" s="6" t="s">
        <v>291</v>
      </c>
      <c r="G100" s="6" t="s">
        <v>292</v>
      </c>
      <c r="H100" s="5" t="s">
        <v>293</v>
      </c>
      <c r="I100" s="5" t="s">
        <v>22</v>
      </c>
      <c r="J100" s="5" t="s">
        <v>252</v>
      </c>
    </row>
    <row r="101" spans="1:10" ht="76.5" x14ac:dyDescent="0.2">
      <c r="A101" s="4" t="str">
        <f>HYPERLINK("https://projectreporter.nih.gov/project_info_details.cfm?aid=9546419","5R44OH010799-03")</f>
        <v>5R44OH010799-03</v>
      </c>
      <c r="B101" s="5">
        <v>10799</v>
      </c>
      <c r="C101" s="4" t="str">
        <f>HYPERLINK("https://projectreporter.nih.gov/project_info_description.cfm?aid=9546419","Electrochromic + Anti-Fog Personal-Protective Eyewear (PPE) Based on Unique, Very Low Power, Conductive Coatings and Leveraging Unique, ANSI Z87.1-/Military-Qualified Electrochromic Eyewear Technology")</f>
        <v>Electrochromic + Anti-Fog Personal-Protective Eyewear (PPE) Based on Unique, Very Low Power, Conductive Coatings and Leveraging Unique, ANSI Z87.1-/Military-Qualified Electrochromic Eyewear Technology</v>
      </c>
      <c r="D101" s="5" t="s">
        <v>253</v>
      </c>
      <c r="E101" s="5" t="s">
        <v>215</v>
      </c>
      <c r="F101" s="6" t="s">
        <v>294</v>
      </c>
      <c r="G101" s="6" t="s">
        <v>295</v>
      </c>
      <c r="H101" s="5" t="s">
        <v>125</v>
      </c>
      <c r="I101" s="5" t="s">
        <v>296</v>
      </c>
      <c r="J101" s="5" t="s">
        <v>297</v>
      </c>
    </row>
    <row r="102" spans="1:10" ht="38.25" x14ac:dyDescent="0.2">
      <c r="A102" s="4" t="str">
        <f>HYPERLINK("https://projectreporter.nih.gov/project_info_details.cfm?aid=9515575","5R01OH010807-04")</f>
        <v>5R01OH010807-04</v>
      </c>
      <c r="B102" s="5">
        <v>10807</v>
      </c>
      <c r="C102" s="4" t="str">
        <f>HYPERLINK("https://projectreporter.nih.gov/project_info_description.cfm?aid=9515575","Stressors and Cardio-Metabolic Disease in Police: A 12-year Longitudinal Study")</f>
        <v>Stressors and Cardio-Metabolic Disease in Police: A 12-year Longitudinal Study</v>
      </c>
      <c r="D102" s="5" t="s">
        <v>276</v>
      </c>
      <c r="E102" s="5" t="s">
        <v>215</v>
      </c>
      <c r="F102" s="6" t="s">
        <v>298</v>
      </c>
      <c r="G102" s="6" t="s">
        <v>180</v>
      </c>
      <c r="H102" s="5" t="s">
        <v>28</v>
      </c>
      <c r="I102" s="5" t="s">
        <v>267</v>
      </c>
      <c r="J102" s="5" t="s">
        <v>194</v>
      </c>
    </row>
    <row r="103" spans="1:10" ht="38.25" x14ac:dyDescent="0.2">
      <c r="A103" s="4" t="str">
        <f>HYPERLINK("https://projectreporter.nih.gov/project_info_details.cfm?aid=9515576","5R01OH010811-03")</f>
        <v>5R01OH010811-03</v>
      </c>
      <c r="B103" s="5">
        <v>10811</v>
      </c>
      <c r="C103" s="4" t="str">
        <f>HYPERLINK("https://projectreporter.nih.gov/project_info_description.cfm?aid=9515576","Organizational Approaches to Total Worker Health for Low-Income Workers")</f>
        <v>Organizational Approaches to Total Worker Health for Low-Income Workers</v>
      </c>
      <c r="D103" s="5" t="s">
        <v>219</v>
      </c>
      <c r="E103" s="5" t="s">
        <v>299</v>
      </c>
      <c r="F103" s="6" t="s">
        <v>26</v>
      </c>
      <c r="G103" s="6" t="s">
        <v>300</v>
      </c>
      <c r="H103" s="5" t="s">
        <v>14</v>
      </c>
      <c r="I103" s="5" t="s">
        <v>273</v>
      </c>
      <c r="J103" s="5" t="s">
        <v>191</v>
      </c>
    </row>
    <row r="104" spans="1:10" ht="25.5" x14ac:dyDescent="0.2">
      <c r="A104" s="4" t="str">
        <f>HYPERLINK("https://projectreporter.nih.gov/project_info_details.cfm?aid=9478579","5R01OH010828-04")</f>
        <v>5R01OH010828-04</v>
      </c>
      <c r="B104" s="5">
        <v>10828</v>
      </c>
      <c r="C104" s="4" t="str">
        <f>HYPERLINK("https://projectreporter.nih.gov/project_info_description.cfm?aid=9478579","Systemic Health Implications of Occupational Nanomaterial Exposure")</f>
        <v>Systemic Health Implications of Occupational Nanomaterial Exposure</v>
      </c>
      <c r="D104" s="5" t="s">
        <v>278</v>
      </c>
      <c r="E104" s="5" t="s">
        <v>208</v>
      </c>
      <c r="F104" s="6" t="s">
        <v>301</v>
      </c>
      <c r="G104" s="6" t="s">
        <v>302</v>
      </c>
      <c r="H104" s="5" t="s">
        <v>303</v>
      </c>
      <c r="I104" s="5" t="s">
        <v>15</v>
      </c>
      <c r="J104" s="5" t="s">
        <v>304</v>
      </c>
    </row>
    <row r="105" spans="1:10" ht="25.5" x14ac:dyDescent="0.2">
      <c r="A105" s="4" t="str">
        <f>HYPERLINK("https://projectreporter.nih.gov/project_info_details.cfm?aid=9110730","5U01OH010839-03")</f>
        <v>5U01OH010839-03</v>
      </c>
      <c r="B105" s="5">
        <v>10839</v>
      </c>
      <c r="C105" s="4" t="str">
        <f>HYPERLINK("https://projectreporter.nih.gov/project_info_description.cfm?aid=9110730","Coccidioidomycosis Among California Hispanic Farm Workers")</f>
        <v>Coccidioidomycosis Among California Hispanic Farm Workers</v>
      </c>
      <c r="D105" s="5" t="s">
        <v>214</v>
      </c>
      <c r="E105" s="5" t="s">
        <v>174</v>
      </c>
      <c r="F105" s="6" t="s">
        <v>305</v>
      </c>
      <c r="G105" s="6" t="s">
        <v>43</v>
      </c>
      <c r="H105" s="5" t="s">
        <v>44</v>
      </c>
      <c r="I105" s="5" t="s">
        <v>22</v>
      </c>
      <c r="J105" s="5" t="s">
        <v>16</v>
      </c>
    </row>
    <row r="106" spans="1:10" ht="63.75" x14ac:dyDescent="0.2">
      <c r="A106" s="4" t="str">
        <f>HYPERLINK("https://projectreporter.nih.gov/project_info_details.cfm?aid=9302361","5U01OH010841-03")</f>
        <v>5U01OH010841-03</v>
      </c>
      <c r="B106" s="5">
        <v>10841</v>
      </c>
      <c r="C106" s="4" t="str">
        <f>HYPERLINK("https://projectreporter.nih.gov/project_info_description.cfm?aid=9302361","Reducing logging fatality and non-fatal trauma incidence rates with new real-time operational GPS-VHF communications, recommended safety procedures, and education")</f>
        <v>Reducing logging fatality and non-fatal trauma incidence rates with new real-time operational GPS-VHF communications, recommended safety procedures, and education</v>
      </c>
      <c r="D106" s="5" t="s">
        <v>276</v>
      </c>
      <c r="E106" s="5" t="s">
        <v>174</v>
      </c>
      <c r="F106" s="6" t="s">
        <v>306</v>
      </c>
      <c r="G106" s="6" t="s">
        <v>307</v>
      </c>
      <c r="H106" s="5" t="s">
        <v>308</v>
      </c>
      <c r="I106" s="5" t="s">
        <v>22</v>
      </c>
      <c r="J106" s="5" t="s">
        <v>37</v>
      </c>
    </row>
    <row r="107" spans="1:10" ht="38.25" x14ac:dyDescent="0.2">
      <c r="A107" s="4" t="str">
        <f>HYPERLINK("https://projectreporter.nih.gov/project_info_details.cfm?aid=9467236","5U60OH010892-03")</f>
        <v>5U60OH010892-03</v>
      </c>
      <c r="B107" s="5">
        <v>10892</v>
      </c>
      <c r="C107" s="4" t="str">
        <f>HYPERLINK("https://projectreporter.nih.gov/project_info_description.cfm?aid=9467236","Use of Michigan Worker Compensation Data for Surveillance of Work-Related Injuries and Illnesses")</f>
        <v>Use of Michigan Worker Compensation Data for Surveillance of Work-Related Injuries and Illnesses</v>
      </c>
      <c r="D107" s="5" t="s">
        <v>24</v>
      </c>
      <c r="E107" s="5" t="s">
        <v>215</v>
      </c>
      <c r="F107" s="6" t="s">
        <v>111</v>
      </c>
      <c r="G107" s="6" t="s">
        <v>112</v>
      </c>
      <c r="H107" s="5" t="s">
        <v>108</v>
      </c>
      <c r="I107" s="5" t="s">
        <v>61</v>
      </c>
      <c r="J107" s="5" t="s">
        <v>37</v>
      </c>
    </row>
    <row r="108" spans="1:10" ht="38.25" x14ac:dyDescent="0.2">
      <c r="A108" s="4" t="str">
        <f>HYPERLINK("https://projectreporter.nih.gov/project_info_details.cfm?aid=9294809","5U60OH010893-03")</f>
        <v>5U60OH010893-03</v>
      </c>
      <c r="B108" s="5">
        <v>10893</v>
      </c>
      <c r="C108" s="4" t="str">
        <f>HYPERLINK("https://projectreporter.nih.gov/project_info_description.cfm?aid=9294809","Maximizing use of Massachusetts Workers Compensation Data for Surveillance and Prevention")</f>
        <v>Maximizing use of Massachusetts Workers Compensation Data for Surveillance and Prevention</v>
      </c>
      <c r="D108" s="5" t="s">
        <v>72</v>
      </c>
      <c r="E108" s="5" t="s">
        <v>52</v>
      </c>
      <c r="F108" s="6" t="s">
        <v>309</v>
      </c>
      <c r="G108" s="6" t="s">
        <v>130</v>
      </c>
      <c r="H108" s="5" t="s">
        <v>14</v>
      </c>
      <c r="I108" s="5" t="s">
        <v>61</v>
      </c>
      <c r="J108" s="5" t="s">
        <v>37</v>
      </c>
    </row>
    <row r="109" spans="1:10" ht="25.5" x14ac:dyDescent="0.2">
      <c r="A109" s="4" t="str">
        <f>HYPERLINK("https://projectreporter.nih.gov/project_info_details.cfm?aid=9302362","5U60OH010895-03")</f>
        <v>5U60OH010895-03</v>
      </c>
      <c r="B109" s="5">
        <v>10895</v>
      </c>
      <c r="C109" s="4" t="str">
        <f>HYPERLINK("https://projectreporter.nih.gov/project_info_description.cfm?aid=9302362","California Workers' Compensation Surveillance")</f>
        <v>California Workers' Compensation Surveillance</v>
      </c>
      <c r="D109" s="5" t="s">
        <v>284</v>
      </c>
      <c r="E109" s="5" t="s">
        <v>310</v>
      </c>
      <c r="F109" s="6" t="s">
        <v>114</v>
      </c>
      <c r="G109" s="6" t="s">
        <v>311</v>
      </c>
      <c r="H109" s="5" t="s">
        <v>44</v>
      </c>
      <c r="I109" s="5" t="s">
        <v>61</v>
      </c>
      <c r="J109" s="5" t="s">
        <v>37</v>
      </c>
    </row>
    <row r="110" spans="1:10" ht="38.25" x14ac:dyDescent="0.2">
      <c r="A110" s="4" t="str">
        <f>HYPERLINK("https://projectreporter.nih.gov/project_info_details.cfm?aid=9483209","5U60OH010896-03")</f>
        <v>5U60OH010896-03</v>
      </c>
      <c r="B110" s="5">
        <v>10896</v>
      </c>
      <c r="C110" s="4" t="str">
        <f>HYPERLINK("https://projectreporter.nih.gov/project_info_description.cfm?aid=9483209","Utilization of Tennessee Workers' Compensation Data for Injury Surveillance and Prevention")</f>
        <v>Utilization of Tennessee Workers' Compensation Data for Injury Surveillance and Prevention</v>
      </c>
      <c r="D110" s="5" t="s">
        <v>219</v>
      </c>
      <c r="E110" s="5" t="s">
        <v>220</v>
      </c>
      <c r="F110" s="6" t="s">
        <v>312</v>
      </c>
      <c r="G110" s="6" t="s">
        <v>313</v>
      </c>
      <c r="H110" s="5" t="s">
        <v>204</v>
      </c>
      <c r="I110" s="5" t="s">
        <v>61</v>
      </c>
      <c r="J110" s="5" t="s">
        <v>37</v>
      </c>
    </row>
    <row r="111" spans="1:10" ht="25.5" x14ac:dyDescent="0.2">
      <c r="A111" s="4" t="str">
        <f>HYPERLINK("https://projectreporter.nih.gov/project_info_details.cfm?aid=9477953","5U60OH010897-04")</f>
        <v>5U60OH010897-04</v>
      </c>
      <c r="B111" s="5">
        <v>10897</v>
      </c>
      <c r="C111" s="4" t="str">
        <f>HYPERLINK("https://projectreporter.nih.gov/project_info_description.cfm?aid=9477953","Nebraska Occupational Safety and Health Surveillance Program")</f>
        <v>Nebraska Occupational Safety and Health Surveillance Program</v>
      </c>
      <c r="D111" s="5" t="s">
        <v>72</v>
      </c>
      <c r="E111" s="5" t="s">
        <v>73</v>
      </c>
      <c r="F111" s="6" t="s">
        <v>314</v>
      </c>
      <c r="G111" s="6" t="s">
        <v>315</v>
      </c>
      <c r="H111" s="5" t="s">
        <v>250</v>
      </c>
      <c r="I111" s="5" t="s">
        <v>61</v>
      </c>
      <c r="J111" s="5" t="s">
        <v>37</v>
      </c>
    </row>
    <row r="112" spans="1:10" ht="38.25" x14ac:dyDescent="0.2">
      <c r="A112" s="4" t="str">
        <f>HYPERLINK("https://projectreporter.nih.gov/project_info_details.cfm?aid=9477954","5U60OH010898-04")</f>
        <v>5U60OH010898-04</v>
      </c>
      <c r="B112" s="5">
        <v>10898</v>
      </c>
      <c r="C112" s="4" t="str">
        <f>HYPERLINK("https://projectreporter.nih.gov/project_info_description.cfm?aid=9477954","Wisconsin Fundamental-Plus Occupational Health Surveillance Project")</f>
        <v>Wisconsin Fundamental-Plus Occupational Health Surveillance Project</v>
      </c>
      <c r="D112" s="5" t="s">
        <v>72</v>
      </c>
      <c r="E112" s="5" t="s">
        <v>73</v>
      </c>
      <c r="F112" s="6" t="s">
        <v>316</v>
      </c>
      <c r="G112" s="6" t="s">
        <v>317</v>
      </c>
      <c r="H112" s="5" t="s">
        <v>60</v>
      </c>
      <c r="I112" s="5" t="s">
        <v>61</v>
      </c>
      <c r="J112" s="5" t="s">
        <v>37</v>
      </c>
    </row>
    <row r="113" spans="1:10" ht="25.5" x14ac:dyDescent="0.2">
      <c r="A113" s="4" t="str">
        <f>HYPERLINK("https://projectreporter.nih.gov/project_info_details.cfm?aid=9477956","5U60OH010900-04")</f>
        <v>5U60OH010900-04</v>
      </c>
      <c r="B113" s="5">
        <v>10900</v>
      </c>
      <c r="C113" s="4" t="str">
        <f>HYPERLINK("https://projectreporter.nih.gov/project_info_description.cfm?aid=9477956","State-Based Occupational Health and Safety Surveillance in Florida")</f>
        <v>State-Based Occupational Health and Safety Surveillance in Florida</v>
      </c>
      <c r="D113" s="5" t="s">
        <v>72</v>
      </c>
      <c r="E113" s="5" t="s">
        <v>73</v>
      </c>
      <c r="F113" s="6" t="s">
        <v>318</v>
      </c>
      <c r="G113" s="6" t="s">
        <v>319</v>
      </c>
      <c r="H113" s="5" t="s">
        <v>105</v>
      </c>
      <c r="I113" s="5" t="s">
        <v>61</v>
      </c>
      <c r="J113" s="5" t="s">
        <v>37</v>
      </c>
    </row>
    <row r="114" spans="1:10" ht="38.25" x14ac:dyDescent="0.2">
      <c r="A114" s="4" t="str">
        <f>HYPERLINK("https://projectreporter.nih.gov/project_info_details.cfm?aid=9477957","5U60OH010902-04")</f>
        <v>5U60OH010902-04</v>
      </c>
      <c r="B114" s="5">
        <v>10902</v>
      </c>
      <c r="C114" s="4" t="str">
        <f>HYPERLINK("https://projectreporter.nih.gov/project_info_description.cfm?aid=9477957","Montana Occupational Health and Safety Surveillance Program")</f>
        <v>Montana Occupational Health and Safety Surveillance Program</v>
      </c>
      <c r="D114" s="5" t="s">
        <v>72</v>
      </c>
      <c r="E114" s="5" t="s">
        <v>73</v>
      </c>
      <c r="F114" s="6" t="s">
        <v>320</v>
      </c>
      <c r="G114" s="6" t="s">
        <v>321</v>
      </c>
      <c r="H114" s="5" t="s">
        <v>163</v>
      </c>
      <c r="I114" s="5" t="s">
        <v>61</v>
      </c>
      <c r="J114" s="5" t="s">
        <v>37</v>
      </c>
    </row>
    <row r="115" spans="1:10" ht="25.5" x14ac:dyDescent="0.2">
      <c r="A115" s="4" t="str">
        <f>HYPERLINK("https://projectreporter.nih.gov/project_info_details.cfm?aid=9477357","5U60OH010903-04")</f>
        <v>5U60OH010903-04</v>
      </c>
      <c r="B115" s="5">
        <v>10903</v>
      </c>
      <c r="C115" s="4" t="str">
        <f>HYPERLINK("https://projectreporter.nih.gov/project_info_description.cfm?aid=9477357","Tennessee Occupational Health and Safety Surveillance Program")</f>
        <v>Tennessee Occupational Health and Safety Surveillance Program</v>
      </c>
      <c r="D115" s="5" t="s">
        <v>72</v>
      </c>
      <c r="E115" s="5" t="s">
        <v>73</v>
      </c>
      <c r="F115" s="6" t="s">
        <v>322</v>
      </c>
      <c r="G115" s="6" t="s">
        <v>323</v>
      </c>
      <c r="H115" s="5" t="s">
        <v>204</v>
      </c>
      <c r="I115" s="5" t="s">
        <v>61</v>
      </c>
      <c r="J115" s="5" t="s">
        <v>37</v>
      </c>
    </row>
    <row r="116" spans="1:10" ht="38.25" x14ac:dyDescent="0.2">
      <c r="A116" s="4" t="str">
        <f>HYPERLINK("https://projectreporter.nih.gov/project_info_details.cfm?aid=9477359","5U60OH010904-04")</f>
        <v>5U60OH010904-04</v>
      </c>
      <c r="B116" s="5">
        <v>10904</v>
      </c>
      <c r="C116" s="4" t="str">
        <f>HYPERLINK("https://projectreporter.nih.gov/project_info_description.cfm?aid=9477359","Connecticut Occupational Health Fundamental-Plus Surveillance Program")</f>
        <v>Connecticut Occupational Health Fundamental-Plus Surveillance Program</v>
      </c>
      <c r="D116" s="5" t="s">
        <v>72</v>
      </c>
      <c r="E116" s="5" t="s">
        <v>73</v>
      </c>
      <c r="F116" s="6" t="s">
        <v>324</v>
      </c>
      <c r="G116" s="6" t="s">
        <v>325</v>
      </c>
      <c r="H116" s="5" t="s">
        <v>136</v>
      </c>
      <c r="I116" s="5" t="s">
        <v>61</v>
      </c>
      <c r="J116" s="5" t="s">
        <v>37</v>
      </c>
    </row>
    <row r="117" spans="1:10" ht="25.5" x14ac:dyDescent="0.2">
      <c r="A117" s="4" t="str">
        <f>HYPERLINK("https://projectreporter.nih.gov/project_info_details.cfm?aid=9477959","5U60OH010905-04")</f>
        <v>5U60OH010905-04</v>
      </c>
      <c r="B117" s="5">
        <v>10905</v>
      </c>
      <c r="C117" s="4" t="str">
        <f>HYPERLINK("https://projectreporter.nih.gov/project_info_description.cfm?aid=9477959","Illinois Occupational Surveillance Program 2")</f>
        <v>Illinois Occupational Surveillance Program 2</v>
      </c>
      <c r="D117" s="5" t="s">
        <v>72</v>
      </c>
      <c r="E117" s="5" t="s">
        <v>73</v>
      </c>
      <c r="F117" s="6" t="s">
        <v>326</v>
      </c>
      <c r="G117" s="6" t="s">
        <v>168</v>
      </c>
      <c r="H117" s="5" t="s">
        <v>169</v>
      </c>
      <c r="I117" s="5" t="s">
        <v>61</v>
      </c>
      <c r="J117" s="5" t="s">
        <v>37</v>
      </c>
    </row>
    <row r="118" spans="1:10" ht="25.5" x14ac:dyDescent="0.2">
      <c r="A118" s="4" t="str">
        <f>HYPERLINK("https://projectreporter.nih.gov/project_info_details.cfm?aid=9477961","5U60OH010908-05")</f>
        <v>5U60OH010908-05</v>
      </c>
      <c r="B118" s="5">
        <v>10908</v>
      </c>
      <c r="C118" s="4" t="str">
        <f>HYPERLINK("https://projectreporter.nih.gov/project_info_description.cfm?aid=9477961","Georgia Occupational Health Surveillance System")</f>
        <v>Georgia Occupational Health Surveillance System</v>
      </c>
      <c r="D118" s="5" t="s">
        <v>72</v>
      </c>
      <c r="E118" s="5" t="s">
        <v>73</v>
      </c>
      <c r="F118" s="6" t="s">
        <v>327</v>
      </c>
      <c r="G118" s="6" t="s">
        <v>328</v>
      </c>
      <c r="H118" s="5" t="s">
        <v>239</v>
      </c>
      <c r="I118" s="5" t="s">
        <v>61</v>
      </c>
      <c r="J118" s="5" t="s">
        <v>37</v>
      </c>
    </row>
    <row r="119" spans="1:10" ht="38.25" x14ac:dyDescent="0.2">
      <c r="A119" s="4" t="str">
        <f>HYPERLINK("https://projectreporter.nih.gov/project_info_details.cfm?aid=9477962","5U60OH010909-04")</f>
        <v>5U60OH010909-04</v>
      </c>
      <c r="B119" s="5">
        <v>10909</v>
      </c>
      <c r="C119" s="4" t="str">
        <f>HYPERLINK("https://projectreporter.nih.gov/project_info_description.cfm?aid=9477962","North Carolina Occupational Health and Safety Surveillance Program")</f>
        <v>North Carolina Occupational Health and Safety Surveillance Program</v>
      </c>
      <c r="D119" s="5" t="s">
        <v>72</v>
      </c>
      <c r="E119" s="5" t="s">
        <v>73</v>
      </c>
      <c r="F119" s="6" t="s">
        <v>329</v>
      </c>
      <c r="G119" s="6" t="s">
        <v>330</v>
      </c>
      <c r="H119" s="5" t="s">
        <v>172</v>
      </c>
      <c r="I119" s="5" t="s">
        <v>61</v>
      </c>
      <c r="J119" s="5" t="s">
        <v>37</v>
      </c>
    </row>
    <row r="120" spans="1:10" ht="38.25" x14ac:dyDescent="0.2">
      <c r="A120" s="4" t="str">
        <f>HYPERLINK("https://projectreporter.nih.gov/project_info_details.cfm?aid=9477362","5U60OH010910-05")</f>
        <v>5U60OH010910-05</v>
      </c>
      <c r="B120" s="5">
        <v>10910</v>
      </c>
      <c r="C120" s="4" t="str">
        <f>HYPERLINK("https://projectreporter.nih.gov/project_info_description.cfm?aid=9477362","Expansion of the New Hampshire Occupational Health Surveillance Program")</f>
        <v>Expansion of the New Hampshire Occupational Health Surveillance Program</v>
      </c>
      <c r="D120" s="5" t="s">
        <v>56</v>
      </c>
      <c r="E120" s="5" t="s">
        <v>73</v>
      </c>
      <c r="F120" s="6" t="s">
        <v>331</v>
      </c>
      <c r="G120" s="6" t="s">
        <v>332</v>
      </c>
      <c r="H120" s="5" t="s">
        <v>333</v>
      </c>
      <c r="I120" s="5" t="s">
        <v>61</v>
      </c>
      <c r="J120" s="5" t="s">
        <v>37</v>
      </c>
    </row>
    <row r="121" spans="1:10" ht="25.5" x14ac:dyDescent="0.2">
      <c r="A121" s="4" t="str">
        <f>HYPERLINK("https://projectreporter.nih.gov/project_info_details.cfm?aid=9477363","5U60OH010915-04")</f>
        <v>5U60OH010915-04</v>
      </c>
      <c r="B121" s="5">
        <v>10915</v>
      </c>
      <c r="C121" s="4" t="str">
        <f>HYPERLINK("https://projectreporter.nih.gov/project_info_description.cfm?aid=9477363","Occupational  Health &amp; Injury Surveillance in Louisiana")</f>
        <v>Occupational  Health &amp; Injury Surveillance in Louisiana</v>
      </c>
      <c r="D121" s="5" t="s">
        <v>334</v>
      </c>
      <c r="E121" s="5" t="s">
        <v>73</v>
      </c>
      <c r="F121" s="6" t="s">
        <v>335</v>
      </c>
      <c r="G121" s="6" t="s">
        <v>336</v>
      </c>
      <c r="H121" s="5" t="s">
        <v>160</v>
      </c>
      <c r="I121" s="5" t="s">
        <v>61</v>
      </c>
      <c r="J121" s="5" t="s">
        <v>37</v>
      </c>
    </row>
    <row r="122" spans="1:10" ht="25.5" x14ac:dyDescent="0.2">
      <c r="A122" s="4" t="str">
        <f>HYPERLINK("https://projectreporter.nih.gov/project_info_details.cfm?aid=9320184","5R01OH010916-03")</f>
        <v>5R01OH010916-03</v>
      </c>
      <c r="B122" s="5">
        <v>10916</v>
      </c>
      <c r="C122" s="4" t="str">
        <f>HYPERLINK("https://projectreporter.nih.gov/project_info_description.cfm?aid=9320184","Exposure-Response Relationships for Low Back Pain from Pooled Data")</f>
        <v>Exposure-Response Relationships for Low Back Pain from Pooled Data</v>
      </c>
      <c r="D122" s="5" t="s">
        <v>276</v>
      </c>
      <c r="E122" s="5" t="s">
        <v>174</v>
      </c>
      <c r="F122" s="6" t="s">
        <v>337</v>
      </c>
      <c r="G122" s="6" t="s">
        <v>338</v>
      </c>
      <c r="H122" s="5" t="s">
        <v>60</v>
      </c>
      <c r="I122" s="5" t="s">
        <v>264</v>
      </c>
      <c r="J122" s="5" t="s">
        <v>244</v>
      </c>
    </row>
    <row r="123" spans="1:10" ht="38.25" x14ac:dyDescent="0.2">
      <c r="A123" s="4" t="str">
        <f>HYPERLINK("https://projectreporter.nih.gov/project_info_details.cfm?aid=9477365","5U60OH010917-04")</f>
        <v>5U60OH010917-04</v>
      </c>
      <c r="B123" s="5">
        <v>10917</v>
      </c>
      <c r="C123" s="4" t="str">
        <f>HYPERLINK("https://projectreporter.nih.gov/project_info_description.cfm?aid=9477365","Occupational Health and Safety Surveillance in Colorado")</f>
        <v>Occupational Health and Safety Surveillance in Colorado</v>
      </c>
      <c r="D123" s="5" t="s">
        <v>72</v>
      </c>
      <c r="E123" s="5" t="s">
        <v>73</v>
      </c>
      <c r="F123" s="6" t="s">
        <v>339</v>
      </c>
      <c r="G123" s="6" t="s">
        <v>340</v>
      </c>
      <c r="H123" s="5" t="s">
        <v>50</v>
      </c>
      <c r="I123" s="5" t="s">
        <v>61</v>
      </c>
      <c r="J123" s="5" t="s">
        <v>37</v>
      </c>
    </row>
    <row r="124" spans="1:10" ht="25.5" x14ac:dyDescent="0.2">
      <c r="A124" s="4" t="str">
        <f>HYPERLINK("https://projectreporter.nih.gov/project_info_details.cfm?aid=9477368","5U60OH010918-04")</f>
        <v>5U60OH010918-04</v>
      </c>
      <c r="B124" s="5">
        <v>10918</v>
      </c>
      <c r="C124" s="4" t="str">
        <f>HYPERLINK("https://projectreporter.nih.gov/project_info_description.cfm?aid=9477368","State Occupational Health and Safety Surveillance Program")</f>
        <v>State Occupational Health and Safety Surveillance Program</v>
      </c>
      <c r="D124" s="5" t="s">
        <v>72</v>
      </c>
      <c r="E124" s="5" t="s">
        <v>73</v>
      </c>
      <c r="F124" s="6" t="s">
        <v>271</v>
      </c>
      <c r="G124" s="6" t="s">
        <v>341</v>
      </c>
      <c r="H124" s="5" t="s">
        <v>342</v>
      </c>
      <c r="I124" s="5" t="s">
        <v>61</v>
      </c>
      <c r="J124" s="5" t="s">
        <v>37</v>
      </c>
    </row>
    <row r="125" spans="1:10" ht="38.25" x14ac:dyDescent="0.2">
      <c r="A125" s="4" t="str">
        <f>HYPERLINK("https://projectreporter.nih.gov/project_info_details.cfm?aid=9457176","5R01OH010921-03")</f>
        <v>5R01OH010921-03</v>
      </c>
      <c r="B125" s="5">
        <v>10921</v>
      </c>
      <c r="C125" s="4" t="str">
        <f>HYPERLINK("https://projectreporter.nih.gov/project_info_description.cfm?aid=9457176","Roles for WTC Dust and DEP Co-pollutant in First Responder Cardiovascular Ailments")</f>
        <v>Roles for WTC Dust and DEP Co-pollutant in First Responder Cardiovascular Ailments</v>
      </c>
      <c r="D125" s="5" t="s">
        <v>24</v>
      </c>
      <c r="E125" s="5" t="s">
        <v>231</v>
      </c>
      <c r="F125" s="6" t="s">
        <v>343</v>
      </c>
      <c r="G125" s="6" t="s">
        <v>344</v>
      </c>
      <c r="H125" s="5" t="s">
        <v>28</v>
      </c>
      <c r="I125" s="5" t="s">
        <v>61</v>
      </c>
      <c r="J125" s="5" t="s">
        <v>61</v>
      </c>
    </row>
    <row r="126" spans="1:10" ht="25.5" x14ac:dyDescent="0.2">
      <c r="A126" s="4" t="str">
        <f>HYPERLINK("https://projectreporter.nih.gov/project_info_details.cfm?aid=9320028","5R01OH010928-03")</f>
        <v>5R01OH010928-03</v>
      </c>
      <c r="B126" s="5">
        <v>10928</v>
      </c>
      <c r="C126" s="4" t="str">
        <f>HYPERLINK("https://projectreporter.nih.gov/project_info_description.cfm?aid=9320028","Understanding Workplace Violence Among Young Workers in the US")</f>
        <v>Understanding Workplace Violence Among Young Workers in the US</v>
      </c>
      <c r="D126" s="5" t="s">
        <v>278</v>
      </c>
      <c r="E126" s="5" t="s">
        <v>345</v>
      </c>
      <c r="F126" s="6" t="s">
        <v>346</v>
      </c>
      <c r="G126" s="6" t="s">
        <v>85</v>
      </c>
      <c r="H126" s="5" t="s">
        <v>86</v>
      </c>
      <c r="I126" s="5" t="s">
        <v>273</v>
      </c>
      <c r="J126" s="5" t="s">
        <v>37</v>
      </c>
    </row>
    <row r="127" spans="1:10" x14ac:dyDescent="0.2">
      <c r="A127" s="4" t="str">
        <f>HYPERLINK("https://projectreporter.nih.gov/project_info_details.cfm?aid=9515580","5R01OH010940-04")</f>
        <v>5R01OH010940-04</v>
      </c>
      <c r="B127" s="5">
        <v>10940</v>
      </c>
      <c r="C127" s="4" t="str">
        <f>HYPERLINK("https://projectreporter.nih.gov/project_info_description.cfm?aid=9515580","Impact of Worn Shoes on Slipping")</f>
        <v>Impact of Worn Shoes on Slipping</v>
      </c>
      <c r="D127" s="5" t="s">
        <v>278</v>
      </c>
      <c r="E127" s="5" t="s">
        <v>208</v>
      </c>
      <c r="F127" s="6" t="s">
        <v>347</v>
      </c>
      <c r="G127" s="6" t="s">
        <v>193</v>
      </c>
      <c r="H127" s="5" t="s">
        <v>153</v>
      </c>
      <c r="I127" s="5" t="s">
        <v>348</v>
      </c>
      <c r="J127" s="5" t="s">
        <v>37</v>
      </c>
    </row>
    <row r="128" spans="1:10" ht="25.5" x14ac:dyDescent="0.2">
      <c r="A128" s="4" t="str">
        <f>HYPERLINK("https://projectreporter.nih.gov/project_info_details.cfm?aid=9519586","5R01OH010941-03")</f>
        <v>5R01OH010941-03</v>
      </c>
      <c r="B128" s="5">
        <v>10941</v>
      </c>
      <c r="C128" s="4" t="str">
        <f>HYPERLINK("https://projectreporter.nih.gov/project_info_description.cfm?aid=9519586","Deciphering Occupational Asthma Pathogenesis Caused by Isocyanate")</f>
        <v>Deciphering Occupational Asthma Pathogenesis Caused by Isocyanate</v>
      </c>
      <c r="D128" s="5" t="s">
        <v>219</v>
      </c>
      <c r="E128" s="5" t="s">
        <v>299</v>
      </c>
      <c r="F128" s="6" t="s">
        <v>349</v>
      </c>
      <c r="G128" s="6" t="s">
        <v>135</v>
      </c>
      <c r="H128" s="5" t="s">
        <v>136</v>
      </c>
      <c r="I128" s="5" t="s">
        <v>176</v>
      </c>
      <c r="J128" s="5" t="s">
        <v>290</v>
      </c>
    </row>
    <row r="129" spans="1:10" ht="38.25" x14ac:dyDescent="0.2">
      <c r="A129" s="4" t="str">
        <f>HYPERLINK("https://projectreporter.nih.gov/project_info_details.cfm?aid=9231636","1R03OH010943-01A1")</f>
        <v>1R03OH010943-01A1</v>
      </c>
      <c r="B129" s="5">
        <v>10943</v>
      </c>
      <c r="C129" s="4" t="str">
        <f>HYPERLINK("https://projectreporter.nih.gov/project_info_description.cfm?aid=9231636","Stemming the Tide of Prescription Opioid-Related Morbidity among Injured Workers")</f>
        <v>Stemming the Tide of Prescription Opioid-Related Morbidity among Injured Workers</v>
      </c>
      <c r="D129" s="5" t="s">
        <v>10</v>
      </c>
      <c r="E129" s="5" t="s">
        <v>231</v>
      </c>
      <c r="F129" s="6" t="s">
        <v>350</v>
      </c>
      <c r="G129" s="6" t="s">
        <v>31</v>
      </c>
      <c r="H129" s="5" t="s">
        <v>32</v>
      </c>
      <c r="I129" s="5" t="s">
        <v>61</v>
      </c>
      <c r="J129" s="5" t="s">
        <v>183</v>
      </c>
    </row>
    <row r="130" spans="1:10" ht="38.25" x14ac:dyDescent="0.2">
      <c r="A130" s="4" t="str">
        <f>HYPERLINK("https://projectreporter.nih.gov/project_info_details.cfm?aid=9335189","5U01OH010967-03")</f>
        <v>5U01OH010967-03</v>
      </c>
      <c r="B130" s="5">
        <v>10967</v>
      </c>
      <c r="C130" s="4" t="str">
        <f>HYPERLINK("https://projectreporter.nih.gov/project_info_description.cfm?aid=9335189","Putting ROPS Research into Practice: Paving the Way for a National Program")</f>
        <v>Putting ROPS Research into Practice: Paving the Way for a National Program</v>
      </c>
      <c r="D130" s="5" t="s">
        <v>276</v>
      </c>
      <c r="E130" s="5" t="s">
        <v>174</v>
      </c>
      <c r="F130" s="6" t="s">
        <v>26</v>
      </c>
      <c r="G130" s="6" t="s">
        <v>27</v>
      </c>
      <c r="H130" s="5" t="s">
        <v>28</v>
      </c>
      <c r="I130" s="5" t="s">
        <v>22</v>
      </c>
      <c r="J130" s="5" t="s">
        <v>37</v>
      </c>
    </row>
    <row r="131" spans="1:10" ht="38.25" x14ac:dyDescent="0.2">
      <c r="A131" s="4" t="str">
        <f>HYPERLINK("https://projectreporter.nih.gov/project_info_details.cfm?aid=9478587","5U01OH010969-03")</f>
        <v>5U01OH010969-03</v>
      </c>
      <c r="B131" s="5">
        <v>10969</v>
      </c>
      <c r="C131" s="4" t="str">
        <f>HYPERLINK("https://projectreporter.nih.gov/project_info_description.cfm?aid=9478587","Agriculture and Climate Change Impacts on Workers' Health and Safety")</f>
        <v>Agriculture and Climate Change Impacts on Workers' Health and Safety</v>
      </c>
      <c r="D131" s="5" t="s">
        <v>24</v>
      </c>
      <c r="E131" s="5" t="s">
        <v>215</v>
      </c>
      <c r="F131" s="6" t="s">
        <v>42</v>
      </c>
      <c r="G131" s="6" t="s">
        <v>43</v>
      </c>
      <c r="H131" s="5" t="s">
        <v>44</v>
      </c>
      <c r="I131" s="5" t="s">
        <v>22</v>
      </c>
      <c r="J131" s="5" t="s">
        <v>41</v>
      </c>
    </row>
    <row r="132" spans="1:10" ht="51" x14ac:dyDescent="0.2">
      <c r="A132" s="4" t="str">
        <f>HYPERLINK("https://projectreporter.nih.gov/project_info_details.cfm?aid=9113957","5U01OH010978-03")</f>
        <v>5U01OH010978-03</v>
      </c>
      <c r="B132" s="5">
        <v>10978</v>
      </c>
      <c r="C132" s="4" t="str">
        <f>HYPERLINK("https://projectreporter.nih.gov/project_info_description.cfm?aid=9113957","Protecting the Logging Workforce: Development of Innovative Logging Techniques for a Safer Working Environment")</f>
        <v>Protecting the Logging Workforce: Development of Innovative Logging Techniques for a Safer Working Environment</v>
      </c>
      <c r="D132" s="5" t="s">
        <v>276</v>
      </c>
      <c r="E132" s="5" t="s">
        <v>174</v>
      </c>
      <c r="F132" s="6" t="s">
        <v>351</v>
      </c>
      <c r="G132" s="6" t="s">
        <v>352</v>
      </c>
      <c r="H132" s="5" t="s">
        <v>96</v>
      </c>
      <c r="I132" s="5" t="s">
        <v>22</v>
      </c>
      <c r="J132" s="5" t="s">
        <v>37</v>
      </c>
    </row>
    <row r="133" spans="1:10" ht="25.5" x14ac:dyDescent="0.2">
      <c r="A133" s="4" t="str">
        <f>HYPERLINK("https://projectreporter.nih.gov/project_info_details.cfm?aid=9476156","5R13OH011003-04")</f>
        <v>5R13OH011003-04</v>
      </c>
      <c r="B133" s="5">
        <v>11003</v>
      </c>
      <c r="C133" s="4" t="str">
        <f>HYPERLINK("https://projectreporter.nih.gov/project_info_description.cfm?aid=9476156","Southern States Occupational Network Meeting")</f>
        <v>Southern States Occupational Network Meeting</v>
      </c>
      <c r="D133" s="5" t="s">
        <v>276</v>
      </c>
      <c r="E133" s="5" t="s">
        <v>231</v>
      </c>
      <c r="F133" s="6" t="s">
        <v>121</v>
      </c>
      <c r="G133" s="6" t="s">
        <v>238</v>
      </c>
      <c r="H133" s="5" t="s">
        <v>239</v>
      </c>
      <c r="I133" s="5" t="s">
        <v>61</v>
      </c>
      <c r="J133" s="5" t="s">
        <v>61</v>
      </c>
    </row>
    <row r="134" spans="1:10" ht="25.5" x14ac:dyDescent="0.2">
      <c r="A134" s="4" t="str">
        <f>HYPERLINK("https://projectreporter.nih.gov/project_info_details.cfm?aid=9478601","5R01OH011023-03")</f>
        <v>5R01OH011023-03</v>
      </c>
      <c r="B134" s="5">
        <v>11023</v>
      </c>
      <c r="C134" s="4" t="str">
        <f>HYPERLINK("https://projectreporter.nih.gov/project_info_description.cfm?aid=9478601","Multiplex Sensor Platform for Biological Monitoring")</f>
        <v>Multiplex Sensor Platform for Biological Monitoring</v>
      </c>
      <c r="D134" s="5" t="s">
        <v>24</v>
      </c>
      <c r="E134" s="5" t="s">
        <v>231</v>
      </c>
      <c r="F134" s="6" t="s">
        <v>353</v>
      </c>
      <c r="G134" s="6" t="s">
        <v>354</v>
      </c>
      <c r="H134" s="5" t="s">
        <v>32</v>
      </c>
      <c r="I134" s="5" t="s">
        <v>22</v>
      </c>
      <c r="J134" s="5" t="s">
        <v>194</v>
      </c>
    </row>
    <row r="135" spans="1:10" ht="38.25" x14ac:dyDescent="0.2">
      <c r="A135" s="4" t="str">
        <f>HYPERLINK("https://projectreporter.nih.gov/project_info_details.cfm?aid=9515581","5R01OH011024-03")</f>
        <v>5R01OH011024-03</v>
      </c>
      <c r="B135" s="5">
        <v>11024</v>
      </c>
      <c r="C135" s="4" t="str">
        <f>HYPERLINK("https://projectreporter.nih.gov/project_info_description.cfm?aid=9515581","A Direct Reading Video Assessment Instrument for Repetitive Motion Stress")</f>
        <v>A Direct Reading Video Assessment Instrument for Repetitive Motion Stress</v>
      </c>
      <c r="D135" s="5" t="s">
        <v>24</v>
      </c>
      <c r="E135" s="5" t="s">
        <v>215</v>
      </c>
      <c r="F135" s="6" t="s">
        <v>355</v>
      </c>
      <c r="G135" s="6" t="s">
        <v>356</v>
      </c>
      <c r="H135" s="5" t="s">
        <v>60</v>
      </c>
      <c r="I135" s="5" t="s">
        <v>61</v>
      </c>
      <c r="J135" s="5" t="s">
        <v>244</v>
      </c>
    </row>
    <row r="136" spans="1:10" ht="38.25" x14ac:dyDescent="0.2">
      <c r="A136" s="4" t="str">
        <f>HYPERLINK("https://projectreporter.nih.gov/project_info_details.cfm?aid=9478603","5R01OH011029-03")</f>
        <v>5R01OH011029-03</v>
      </c>
      <c r="B136" s="5">
        <v>11029</v>
      </c>
      <c r="C136" s="4" t="str">
        <f>HYPERLINK("https://projectreporter.nih.gov/project_info_description.cfm?aid=9478603","Giving Safety A Competitive Advantage: Increasing PFD Use Among Lobster Fishermen")</f>
        <v>Giving Safety A Competitive Advantage: Increasing PFD Use Among Lobster Fishermen</v>
      </c>
      <c r="D136" s="5" t="s">
        <v>219</v>
      </c>
      <c r="E136" s="5" t="s">
        <v>299</v>
      </c>
      <c r="F136" s="6" t="s">
        <v>26</v>
      </c>
      <c r="G136" s="6" t="s">
        <v>27</v>
      </c>
      <c r="H136" s="5" t="s">
        <v>28</v>
      </c>
      <c r="I136" s="5" t="s">
        <v>22</v>
      </c>
      <c r="J136" s="5" t="s">
        <v>37</v>
      </c>
    </row>
    <row r="137" spans="1:10" ht="25.5" x14ac:dyDescent="0.2">
      <c r="A137" s="4" t="str">
        <f>HYPERLINK("https://projectreporter.nih.gov/project_info_details.cfm?aid=9437581","5R21OH011052-02")</f>
        <v>5R21OH011052-02</v>
      </c>
      <c r="B137" s="5">
        <v>11052</v>
      </c>
      <c r="C137" s="4" t="str">
        <f>HYPERLINK("https://projectreporter.nih.gov/project_info_description.cfm?aid=9437581","Novel Circadian Exposure Metrics for Shift Workers")</f>
        <v>Novel Circadian Exposure Metrics for Shift Workers</v>
      </c>
      <c r="D137" s="5" t="s">
        <v>24</v>
      </c>
      <c r="E137" s="5" t="s">
        <v>174</v>
      </c>
      <c r="F137" s="6" t="s">
        <v>224</v>
      </c>
      <c r="G137" s="6" t="s">
        <v>357</v>
      </c>
      <c r="H137" s="5" t="s">
        <v>14</v>
      </c>
      <c r="I137" s="5" t="s">
        <v>55</v>
      </c>
      <c r="J137" s="5" t="s">
        <v>194</v>
      </c>
    </row>
    <row r="138" spans="1:10" ht="25.5" x14ac:dyDescent="0.2">
      <c r="A138" s="4" t="str">
        <f>HYPERLINK("https://projectreporter.nih.gov/project_info_details.cfm?aid=9388126","1R03OH011069-01A1")</f>
        <v>1R03OH011069-01A1</v>
      </c>
      <c r="B138" s="5">
        <v>11069</v>
      </c>
      <c r="C138" s="4" t="str">
        <f>HYPERLINK("https://projectreporter.nih.gov/project_info_description.cfm?aid=9388126","A Predictive Statistical Model for Shoe-Floor-Fluid Coefficient of Friction")</f>
        <v>A Predictive Statistical Model for Shoe-Floor-Fluid Coefficient of Friction</v>
      </c>
      <c r="D138" s="5" t="s">
        <v>10</v>
      </c>
      <c r="E138" s="5" t="s">
        <v>231</v>
      </c>
      <c r="F138" s="6" t="s">
        <v>347</v>
      </c>
      <c r="G138" s="6" t="s">
        <v>193</v>
      </c>
      <c r="H138" s="5" t="s">
        <v>153</v>
      </c>
      <c r="I138" s="5" t="s">
        <v>358</v>
      </c>
      <c r="J138" s="5" t="s">
        <v>37</v>
      </c>
    </row>
    <row r="139" spans="1:10" ht="38.25" x14ac:dyDescent="0.2">
      <c r="A139" s="4" t="str">
        <f>HYPERLINK("https://projectreporter.nih.gov/project_info_details.cfm?aid=9518456","5R01OH011076-03")</f>
        <v>5R01OH011076-03</v>
      </c>
      <c r="B139" s="5">
        <v>11076</v>
      </c>
      <c r="C139" s="4" t="str">
        <f>HYPERLINK("https://projectreporter.nih.gov/project_info_description.cfm?aid=9518456","DEVELOPING A GENERAL POPULATION JOB EXPOSURE MATRIX FOR STUDIES OF WORK-RELATED MSD")</f>
        <v>DEVELOPING A GENERAL POPULATION JOB EXPOSURE MATRIX FOR STUDIES OF WORK-RELATED MSD</v>
      </c>
      <c r="D139" s="5" t="s">
        <v>24</v>
      </c>
      <c r="E139" s="5" t="s">
        <v>215</v>
      </c>
      <c r="F139" s="6" t="s">
        <v>359</v>
      </c>
      <c r="G139" s="6" t="s">
        <v>360</v>
      </c>
      <c r="H139" s="5" t="s">
        <v>361</v>
      </c>
      <c r="I139" s="5" t="s">
        <v>61</v>
      </c>
      <c r="J139" s="5" t="s">
        <v>244</v>
      </c>
    </row>
    <row r="140" spans="1:10" ht="38.25" x14ac:dyDescent="0.2">
      <c r="A140" s="4" t="str">
        <f>HYPERLINK("https://projectreporter.nih.gov/project_info_details.cfm?aid=9381108","1R01OH011082-01A1")</f>
        <v>1R01OH011082-01A1</v>
      </c>
      <c r="B140" s="5">
        <v>11082</v>
      </c>
      <c r="C140" s="4" t="str">
        <f>HYPERLINK("https://projectreporter.nih.gov/project_info_description.cfm?aid=9381108","Novel gas chromatography for rapid, in situ workplace hazardous VOC/VIC analysis")</f>
        <v>Novel gas chromatography for rapid, in situ workplace hazardous VOC/VIC analysis</v>
      </c>
      <c r="D140" s="5" t="s">
        <v>10</v>
      </c>
      <c r="E140" s="5" t="s">
        <v>11</v>
      </c>
      <c r="F140" s="6" t="s">
        <v>362</v>
      </c>
      <c r="G140" s="6" t="s">
        <v>363</v>
      </c>
      <c r="H140" s="5" t="s">
        <v>108</v>
      </c>
      <c r="I140" s="5" t="s">
        <v>61</v>
      </c>
      <c r="J140" s="5" t="s">
        <v>194</v>
      </c>
    </row>
    <row r="141" spans="1:10" ht="38.25" x14ac:dyDescent="0.2">
      <c r="A141" s="4" t="str">
        <f>HYPERLINK("https://projectreporter.nih.gov/project_info_details.cfm?aid=9238053","1R01OH011092-01A1")</f>
        <v>1R01OH011092-01A1</v>
      </c>
      <c r="B141" s="5">
        <v>11092</v>
      </c>
      <c r="C141" s="4" t="str">
        <f>HYPERLINK("https://projectreporter.nih.gov/project_info_description.cfm?aid=9238053","Occupational Safety and Health Research (R01)")</f>
        <v>Occupational Safety and Health Research (R01)</v>
      </c>
      <c r="D141" s="5" t="s">
        <v>364</v>
      </c>
      <c r="E141" s="5" t="s">
        <v>47</v>
      </c>
      <c r="F141" s="6" t="s">
        <v>365</v>
      </c>
      <c r="G141" s="6" t="s">
        <v>83</v>
      </c>
      <c r="H141" s="5" t="s">
        <v>44</v>
      </c>
      <c r="I141" s="5" t="s">
        <v>15</v>
      </c>
      <c r="J141" s="5" t="s">
        <v>194</v>
      </c>
    </row>
    <row r="142" spans="1:10" ht="25.5" x14ac:dyDescent="0.2">
      <c r="A142" s="4" t="str">
        <f>HYPERLINK("https://projectreporter.nih.gov/project_info_details.cfm?aid=9421485","5R21OH011120-02")</f>
        <v>5R21OH011120-02</v>
      </c>
      <c r="B142" s="5">
        <v>11120</v>
      </c>
      <c r="C142" s="4" t="str">
        <f>HYPERLINK("https://projectreporter.nih.gov/project_info_description.cfm?aid=9421485","Sugarcane workers, medical visits, and kidney function")</f>
        <v>Sugarcane workers, medical visits, and kidney function</v>
      </c>
      <c r="D142" s="5" t="s">
        <v>24</v>
      </c>
      <c r="E142" s="5" t="s">
        <v>174</v>
      </c>
      <c r="F142" s="6" t="s">
        <v>366</v>
      </c>
      <c r="G142" s="6" t="s">
        <v>367</v>
      </c>
      <c r="H142" s="5" t="s">
        <v>201</v>
      </c>
      <c r="I142" s="5" t="s">
        <v>22</v>
      </c>
      <c r="J142" s="5" t="s">
        <v>33</v>
      </c>
    </row>
    <row r="143" spans="1:10" ht="25.5" x14ac:dyDescent="0.2">
      <c r="A143" s="4" t="str">
        <f>HYPERLINK("https://projectreporter.nih.gov/project_info_details.cfm?aid=9471229","5U13OH011134-03")</f>
        <v>5U13OH011134-03</v>
      </c>
      <c r="B143" s="5">
        <v>11134</v>
      </c>
      <c r="C143" s="4" t="str">
        <f>HYPERLINK("https://projectreporter.nih.gov/project_info_description.cfm?aid=9471229","Western States Occupational Network Meeting (WestOn)")</f>
        <v>Western States Occupational Network Meeting (WestOn)</v>
      </c>
      <c r="D143" s="5" t="s">
        <v>219</v>
      </c>
      <c r="E143" s="5" t="s">
        <v>368</v>
      </c>
      <c r="F143" s="6" t="s">
        <v>114</v>
      </c>
      <c r="G143" s="6" t="s">
        <v>238</v>
      </c>
      <c r="H143" s="5" t="s">
        <v>239</v>
      </c>
      <c r="I143" s="5" t="s">
        <v>61</v>
      </c>
      <c r="J143" s="5" t="s">
        <v>61</v>
      </c>
    </row>
    <row r="144" spans="1:10" ht="76.5" x14ac:dyDescent="0.2">
      <c r="A144" s="4" t="str">
        <f>HYPERLINK("https://projectreporter.nih.gov/project_info_details.cfm?aid=9469343","5U60OH011141-03")</f>
        <v>5U60OH011141-03</v>
      </c>
      <c r="B144" s="5">
        <v>11141</v>
      </c>
      <c r="C144" s="4" t="str">
        <f>HYPERLINK("https://projectreporter.nih.gov/project_info_description.cfm?aid=9469343","Using the Ohio Bureau of Workers' Compensation claim and policy data systems for surveillance and prevention of occupational injuries, illnesses, fatalities, and exposures to occupational hazards.")</f>
        <v>Using the Ohio Bureau of Workers' Compensation claim and policy data systems for surveillance and prevention of occupational injuries, illnesses, fatalities, and exposures to occupational hazards.</v>
      </c>
      <c r="D144" s="5" t="s">
        <v>219</v>
      </c>
      <c r="E144" s="5" t="s">
        <v>220</v>
      </c>
      <c r="F144" s="6" t="s">
        <v>369</v>
      </c>
      <c r="G144" s="6" t="s">
        <v>370</v>
      </c>
      <c r="H144" s="5" t="s">
        <v>89</v>
      </c>
      <c r="I144" s="5" t="s">
        <v>61</v>
      </c>
      <c r="J144" s="5" t="s">
        <v>37</v>
      </c>
    </row>
    <row r="145" spans="1:10" ht="51" x14ac:dyDescent="0.2">
      <c r="A145" s="4" t="str">
        <f>HYPERLINK("https://projectreporter.nih.gov/project_info_details.cfm?aid=9621422","2R44OH011145-02A1")</f>
        <v>2R44OH011145-02A1</v>
      </c>
      <c r="B145" s="5">
        <v>11145</v>
      </c>
      <c r="C145" s="4" t="str">
        <f>HYPERLINK("https://projectreporter.nih.gov/project_info_description.cfm?aid=9621422","Development Of A Novel Wireless In-Ear Noise Exposure Monitor For The Prevention Of Occupational Hearing Loss")</f>
        <v>Development Of A Novel Wireless In-Ear Noise Exposure Monitor For The Prevention Of Occupational Hearing Loss</v>
      </c>
      <c r="D145" s="5" t="s">
        <v>10</v>
      </c>
      <c r="E145" s="5" t="s">
        <v>231</v>
      </c>
      <c r="F145" s="6" t="s">
        <v>371</v>
      </c>
      <c r="G145" s="6" t="s">
        <v>372</v>
      </c>
      <c r="H145" s="5" t="s">
        <v>153</v>
      </c>
      <c r="I145" s="5" t="s">
        <v>15</v>
      </c>
      <c r="J145" s="5" t="s">
        <v>256</v>
      </c>
    </row>
    <row r="146" spans="1:10" ht="25.5" x14ac:dyDescent="0.2">
      <c r="A146" s="4" t="str">
        <f>HYPERLINK("https://projectreporter.nih.gov/project_info_details.cfm?aid=9477964","5U60OH011154-03")</f>
        <v>5U60OH011154-03</v>
      </c>
      <c r="B146" s="5">
        <v>11154</v>
      </c>
      <c r="C146" s="4" t="str">
        <f>HYPERLINK("https://projectreporter.nih.gov/project_info_description.cfm?aid=9477964","Maryland Occupational Health and Safety Surveillance Project")</f>
        <v>Maryland Occupational Health and Safety Surveillance Project</v>
      </c>
      <c r="D146" s="5" t="s">
        <v>56</v>
      </c>
      <c r="E146" s="5" t="s">
        <v>73</v>
      </c>
      <c r="F146" s="6" t="s">
        <v>373</v>
      </c>
      <c r="G146" s="6" t="s">
        <v>374</v>
      </c>
      <c r="H146" s="5" t="s">
        <v>81</v>
      </c>
      <c r="I146" s="5" t="s">
        <v>61</v>
      </c>
      <c r="J146" s="5" t="s">
        <v>37</v>
      </c>
    </row>
    <row r="147" spans="1:10" ht="38.25" x14ac:dyDescent="0.2">
      <c r="A147" s="4" t="str">
        <f>HYPERLINK("https://projectreporter.nih.gov/project_info_details.cfm?aid=9310803","1K01OH011183-01A1")</f>
        <v>1K01OH011183-01A1</v>
      </c>
      <c r="B147" s="5">
        <v>11183</v>
      </c>
      <c r="C147" s="4" t="str">
        <f>HYPERLINK("https://projectreporter.nih.gov/project_info_description.cfm?aid=9310803","Advancing Workplace Safety Surveillance with Ambulatory Inertial Sensors")</f>
        <v>Advancing Workplace Safety Surveillance with Ambulatory Inertial Sensors</v>
      </c>
      <c r="D147" s="5" t="s">
        <v>10</v>
      </c>
      <c r="E147" s="5" t="s">
        <v>25</v>
      </c>
      <c r="F147" s="6" t="s">
        <v>375</v>
      </c>
      <c r="G147" s="6" t="s">
        <v>376</v>
      </c>
      <c r="H147" s="5" t="s">
        <v>99</v>
      </c>
      <c r="I147" s="5" t="s">
        <v>15</v>
      </c>
      <c r="J147" s="5" t="s">
        <v>244</v>
      </c>
    </row>
    <row r="148" spans="1:10" ht="51" x14ac:dyDescent="0.2">
      <c r="A148" s="4" t="str">
        <f>HYPERLINK("https://projectreporter.nih.gov/project_info_details.cfm?aid=9478605","5K01OH011186-03")</f>
        <v>5K01OH011186-03</v>
      </c>
      <c r="B148" s="5">
        <v>11186</v>
      </c>
      <c r="C148" s="4" t="str">
        <f>HYPERLINK("https://projectreporter.nih.gov/project_info_description.cfm?aid=9478605","Impact of Patient Safety Climate on Infection Prevention Practices and Healthcare Worker and Patient Outcomes")</f>
        <v>Impact of Patient Safety Climate on Infection Prevention Practices and Healthcare Worker and Patient Outcomes</v>
      </c>
      <c r="D148" s="5" t="s">
        <v>24</v>
      </c>
      <c r="E148" s="5" t="s">
        <v>215</v>
      </c>
      <c r="F148" s="6" t="s">
        <v>377</v>
      </c>
      <c r="G148" s="6" t="s">
        <v>378</v>
      </c>
      <c r="H148" s="5" t="s">
        <v>28</v>
      </c>
      <c r="I148" s="5" t="s">
        <v>55</v>
      </c>
      <c r="J148" s="5" t="s">
        <v>379</v>
      </c>
    </row>
    <row r="149" spans="1:10" ht="38.25" x14ac:dyDescent="0.2">
      <c r="A149" s="4" t="str">
        <f>HYPERLINK("https://projectreporter.nih.gov/project_info_details.cfm?aid=9478606","5K01OH011191-03")</f>
        <v>5K01OH011191-03</v>
      </c>
      <c r="B149" s="5">
        <v>11191</v>
      </c>
      <c r="C149" s="4" t="str">
        <f>HYPERLINK("https://projectreporter.nih.gov/project_info_description.cfm?aid=9478606","Health and Safety Training Module for Vietnamese Nail Salon Workers: a Feasibility Study")</f>
        <v>Health and Safety Training Module for Vietnamese Nail Salon Workers: a Feasibility Study</v>
      </c>
      <c r="D149" s="5" t="s">
        <v>24</v>
      </c>
      <c r="E149" s="5" t="s">
        <v>215</v>
      </c>
      <c r="F149" s="6" t="s">
        <v>380</v>
      </c>
      <c r="G149" s="6" t="s">
        <v>381</v>
      </c>
      <c r="H149" s="5" t="s">
        <v>153</v>
      </c>
      <c r="I149" s="5" t="s">
        <v>273</v>
      </c>
      <c r="J149" s="5" t="s">
        <v>290</v>
      </c>
    </row>
    <row r="150" spans="1:10" ht="38.25" x14ac:dyDescent="0.2">
      <c r="A150" s="4" t="str">
        <f>HYPERLINK("https://projectreporter.nih.gov/project_info_details.cfm?aid=9336910","5R03OH011195-02")</f>
        <v>5R03OH011195-02</v>
      </c>
      <c r="B150" s="5">
        <v>11195</v>
      </c>
      <c r="C150" s="4" t="str">
        <f>HYPERLINK("https://projectreporter.nih.gov/project_info_description.cfm?aid=9336910","Assessing Heat-Related Morbidity among Migrant and Seasonal Farmworkers")</f>
        <v>Assessing Heat-Related Morbidity among Migrant and Seasonal Farmworkers</v>
      </c>
      <c r="D150" s="5" t="s">
        <v>24</v>
      </c>
      <c r="E150" s="5" t="s">
        <v>174</v>
      </c>
      <c r="F150" s="6" t="s">
        <v>271</v>
      </c>
      <c r="G150" s="6" t="s">
        <v>75</v>
      </c>
      <c r="H150" s="5" t="s">
        <v>21</v>
      </c>
      <c r="I150" s="5" t="s">
        <v>22</v>
      </c>
      <c r="J150" s="5" t="s">
        <v>33</v>
      </c>
    </row>
    <row r="151" spans="1:10" ht="38.25" x14ac:dyDescent="0.2">
      <c r="A151" s="4" t="str">
        <f>HYPERLINK("https://projectreporter.nih.gov/project_info_details.cfm?aid=9318077","1R21OH011208-01A1")</f>
        <v>1R21OH011208-01A1</v>
      </c>
      <c r="B151" s="5">
        <v>11208</v>
      </c>
      <c r="C151" s="4" t="str">
        <f>HYPERLINK("https://projectreporter.nih.gov/project_info_description.cfm?aid=9318077","The Low Back Cumulative Trauma Index:A Fatigue-Failure Based Risk Assessment Tool")</f>
        <v>The Low Back Cumulative Trauma Index:A Fatigue-Failure Based Risk Assessment Tool</v>
      </c>
      <c r="D151" s="5" t="s">
        <v>10</v>
      </c>
      <c r="E151" s="5" t="s">
        <v>231</v>
      </c>
      <c r="F151" s="6" t="s">
        <v>382</v>
      </c>
      <c r="G151" s="6" t="s">
        <v>376</v>
      </c>
      <c r="H151" s="5" t="s">
        <v>383</v>
      </c>
      <c r="I151" s="5" t="s">
        <v>61</v>
      </c>
      <c r="J151" s="5" t="s">
        <v>244</v>
      </c>
    </row>
    <row r="152" spans="1:10" ht="25.5" x14ac:dyDescent="0.2">
      <c r="A152" s="4" t="str">
        <f>HYPERLINK("https://projectreporter.nih.gov/project_info_details.cfm?aid=9545577","5U19OH011227-03")</f>
        <v>5U19OH011227-03</v>
      </c>
      <c r="B152" s="5">
        <v>11227</v>
      </c>
      <c r="C152" s="4" t="str">
        <f>HYPERLINK("https://projectreporter.nih.gov/project_info_description.cfm?aid=9545577","Center for Health, Work &amp; Environment")</f>
        <v>Center for Health, Work &amp; Environment</v>
      </c>
      <c r="D152" s="5" t="s">
        <v>24</v>
      </c>
      <c r="E152" s="5" t="s">
        <v>25</v>
      </c>
      <c r="F152" s="6" t="s">
        <v>197</v>
      </c>
      <c r="G152" s="6" t="s">
        <v>384</v>
      </c>
      <c r="H152" s="5" t="s">
        <v>50</v>
      </c>
      <c r="I152" s="5" t="s">
        <v>264</v>
      </c>
      <c r="J152" s="5" t="s">
        <v>185</v>
      </c>
    </row>
    <row r="153" spans="1:10" ht="25.5" x14ac:dyDescent="0.2">
      <c r="A153" s="4" t="str">
        <f>HYPERLINK("https://projectreporter.nih.gov/project_info_details.cfm?aid=9540739","5U54OH011230-03")</f>
        <v>5U54OH011230-03</v>
      </c>
      <c r="B153" s="5">
        <v>11230</v>
      </c>
      <c r="C153" s="4" t="str">
        <f>HYPERLINK("https://projectreporter.nih.gov/project_info_description.cfm?aid=9540739","Southeastern Coastal Center for Agriculture Health and Safety ")</f>
        <v xml:space="preserve">Southeastern Coastal Center for Agriculture Health and Safety </v>
      </c>
      <c r="D153" s="5" t="s">
        <v>17</v>
      </c>
      <c r="E153" s="5" t="s">
        <v>18</v>
      </c>
      <c r="F153" s="6" t="s">
        <v>385</v>
      </c>
      <c r="G153" s="6" t="s">
        <v>386</v>
      </c>
      <c r="H153" s="5" t="s">
        <v>105</v>
      </c>
      <c r="I153" s="5" t="s">
        <v>22</v>
      </c>
      <c r="J153" s="5" t="s">
        <v>33</v>
      </c>
    </row>
    <row r="154" spans="1:10" ht="25.5" x14ac:dyDescent="0.2">
      <c r="A154" s="4" t="str">
        <f>HYPERLINK("https://projectreporter.nih.gov/project_info_details.cfm?aid=9545580","5U19OH011232-03")</f>
        <v>5U19OH011232-03</v>
      </c>
      <c r="B154" s="5">
        <v>11232</v>
      </c>
      <c r="C154" s="4" t="str">
        <f>HYPERLINK("https://projectreporter.nih.gov/project_info_description.cfm?aid=9545580","UIC Center for Healthy Work")</f>
        <v>UIC Center for Healthy Work</v>
      </c>
      <c r="D154" s="5" t="s">
        <v>24</v>
      </c>
      <c r="E154" s="5" t="s">
        <v>25</v>
      </c>
      <c r="F154" s="6" t="s">
        <v>387</v>
      </c>
      <c r="G154" s="6" t="s">
        <v>388</v>
      </c>
      <c r="H154" s="5" t="s">
        <v>169</v>
      </c>
      <c r="I154" s="5" t="s">
        <v>61</v>
      </c>
      <c r="J154" s="5" t="s">
        <v>389</v>
      </c>
    </row>
    <row r="155" spans="1:10" ht="25.5" x14ac:dyDescent="0.2">
      <c r="A155" s="4" t="str">
        <f>HYPERLINK("https://projectreporter.nih.gov/project_info_details.cfm?aid=9448904","1R01OH011256-01A1")</f>
        <v>1R01OH011256-01A1</v>
      </c>
      <c r="B155" s="5">
        <v>11256</v>
      </c>
      <c r="C155" s="4" t="str">
        <f>HYPERLINK("https://projectreporter.nih.gov/project_info_description.cfm?aid=9448904","Trends and disparities in fatal occupational injury in North Carolina")</f>
        <v>Trends and disparities in fatal occupational injury in North Carolina</v>
      </c>
      <c r="D155" s="5" t="s">
        <v>10</v>
      </c>
      <c r="E155" s="5" t="s">
        <v>11</v>
      </c>
      <c r="F155" s="6" t="s">
        <v>390</v>
      </c>
      <c r="G155" s="6" t="s">
        <v>171</v>
      </c>
      <c r="H155" s="5" t="s">
        <v>172</v>
      </c>
      <c r="I155" s="5" t="s">
        <v>61</v>
      </c>
      <c r="J155" s="5" t="s">
        <v>37</v>
      </c>
    </row>
    <row r="156" spans="1:10" ht="38.25" x14ac:dyDescent="0.2">
      <c r="A156" s="4" t="str">
        <f>HYPERLINK("https://projectreporter.nih.gov/project_info_details.cfm?aid=9387176","1R21OH011287-01A1")</f>
        <v>1R21OH011287-01A1</v>
      </c>
      <c r="B156" s="5">
        <v>11287</v>
      </c>
      <c r="C156" s="4" t="str">
        <f>HYPERLINK("https://projectreporter.nih.gov/project_info_description.cfm?aid=9387176","A Direct-Reading Inhalable Particle Sizer with Elemental Composition Analyzer")</f>
        <v>A Direct-Reading Inhalable Particle Sizer with Elemental Composition Analyzer</v>
      </c>
      <c r="D156" s="5" t="s">
        <v>10</v>
      </c>
      <c r="E156" s="5" t="s">
        <v>231</v>
      </c>
      <c r="F156" s="6" t="s">
        <v>391</v>
      </c>
      <c r="G156" s="6" t="s">
        <v>49</v>
      </c>
      <c r="H156" s="5" t="s">
        <v>50</v>
      </c>
      <c r="I156" s="5" t="s">
        <v>61</v>
      </c>
      <c r="J156" s="5" t="s">
        <v>61</v>
      </c>
    </row>
    <row r="157" spans="1:10" ht="38.25" x14ac:dyDescent="0.2">
      <c r="A157" s="4" t="str">
        <f>HYPERLINK("https://projectreporter.nih.gov/project_info_details.cfm?aid=9509927","1R21OH011355-01A1")</f>
        <v>1R21OH011355-01A1</v>
      </c>
      <c r="B157" s="5">
        <v>11355</v>
      </c>
      <c r="C157" s="4" t="str">
        <f>HYPERLINK("https://projectreporter.nih.gov/project_info_description.cfm?aid=9509927","Keys to Re-Injury Prevention and Sustained Return-to-Work for Disabled Workers")</f>
        <v>Keys to Re-Injury Prevention and Sustained Return-to-Work for Disabled Workers</v>
      </c>
      <c r="D157" s="5" t="s">
        <v>10</v>
      </c>
      <c r="E157" s="5" t="s">
        <v>231</v>
      </c>
      <c r="F157" s="6" t="s">
        <v>350</v>
      </c>
      <c r="G157" s="6" t="s">
        <v>31</v>
      </c>
      <c r="H157" s="5" t="s">
        <v>32</v>
      </c>
      <c r="I157" s="5" t="s">
        <v>61</v>
      </c>
      <c r="J157" s="5" t="s">
        <v>389</v>
      </c>
    </row>
    <row r="158" spans="1:10" ht="38.25" x14ac:dyDescent="0.2">
      <c r="A158" s="4" t="str">
        <f>HYPERLINK("https://projectreporter.nih.gov/project_info_details.cfm?aid=9477970","5U60OH011359-03")</f>
        <v>5U60OH011359-03</v>
      </c>
      <c r="B158" s="5">
        <v>11359</v>
      </c>
      <c r="C158" s="4" t="str">
        <f>HYPERLINK("https://projectreporter.nih.gov/project_info_description.cfm?aid=9477970","Texas Occupational Safety and Health Surveillance- Fundamental Plus Program")</f>
        <v>Texas Occupational Safety and Health Surveillance- Fundamental Plus Program</v>
      </c>
      <c r="D158" s="5" t="s">
        <v>56</v>
      </c>
      <c r="E158" s="5" t="s">
        <v>73</v>
      </c>
      <c r="F158" s="6" t="s">
        <v>392</v>
      </c>
      <c r="G158" s="6" t="s">
        <v>393</v>
      </c>
      <c r="H158" s="5" t="s">
        <v>21</v>
      </c>
      <c r="I158" s="5" t="s">
        <v>61</v>
      </c>
      <c r="J158" s="5" t="s">
        <v>37</v>
      </c>
    </row>
    <row r="159" spans="1:10" ht="25.5" x14ac:dyDescent="0.2">
      <c r="A159" s="4" t="str">
        <f>HYPERLINK("https://projectreporter.nih.gov/project_info_details.cfm?aid=9477971","5U60OH011360-03")</f>
        <v>5U60OH011360-03</v>
      </c>
      <c r="B159" s="5">
        <v>11360</v>
      </c>
      <c r="C159" s="4" t="str">
        <f>HYPERLINK("https://projectreporter.nih.gov/project_info_description.cfm?aid=9477971","New Mexico Occupational Health Surveillance")</f>
        <v>New Mexico Occupational Health Surveillance</v>
      </c>
      <c r="D159" s="5" t="s">
        <v>66</v>
      </c>
      <c r="E159" s="5" t="s">
        <v>73</v>
      </c>
      <c r="F159" s="6" t="s">
        <v>394</v>
      </c>
      <c r="G159" s="6" t="s">
        <v>395</v>
      </c>
      <c r="H159" s="5" t="s">
        <v>303</v>
      </c>
      <c r="I159" s="5" t="s">
        <v>61</v>
      </c>
      <c r="J159" s="5" t="s">
        <v>37</v>
      </c>
    </row>
    <row r="160" spans="1:10" ht="51" x14ac:dyDescent="0.2">
      <c r="A160" s="4" t="str">
        <f>HYPERLINK("https://projectreporter.nih.gov/project_info_details.cfm?aid=9453815","1R21OH011364-01A1")</f>
        <v>1R21OH011364-01A1</v>
      </c>
      <c r="B160" s="5">
        <v>11364</v>
      </c>
      <c r="C160" s="4" t="str">
        <f>HYPERLINK("https://projectreporter.nih.gov/project_info_description.cfm?aid=9453815","Development of a novel continuous-reading sensor for measuring exposures to ammonia in agricultural workplaces and their environs")</f>
        <v>Development of a novel continuous-reading sensor for measuring exposures to ammonia in agricultural workplaces and their environs</v>
      </c>
      <c r="D160" s="5" t="s">
        <v>10</v>
      </c>
      <c r="E160" s="5" t="s">
        <v>231</v>
      </c>
      <c r="F160" s="6" t="s">
        <v>396</v>
      </c>
      <c r="G160" s="6" t="s">
        <v>31</v>
      </c>
      <c r="H160" s="5" t="s">
        <v>32</v>
      </c>
      <c r="I160" s="5" t="s">
        <v>22</v>
      </c>
      <c r="J160" s="5" t="s">
        <v>16</v>
      </c>
    </row>
    <row r="161" spans="1:10" ht="25.5" x14ac:dyDescent="0.2">
      <c r="A161" s="4" t="str">
        <f>HYPERLINK("https://projectreporter.nih.gov/project_info_details.cfm?aid=9298855","1R21OH011385-01")</f>
        <v>1R21OH011385-01</v>
      </c>
      <c r="B161" s="5">
        <v>11385</v>
      </c>
      <c r="C161" s="4" t="str">
        <f>HYPERLINK("https://projectreporter.nih.gov/project_info_description.cfm?aid=9298855","Longitudinally-assessed health impacts of wildland firefighting")</f>
        <v>Longitudinally-assessed health impacts of wildland firefighting</v>
      </c>
      <c r="D161" s="5" t="s">
        <v>10</v>
      </c>
      <c r="E161" s="5" t="s">
        <v>231</v>
      </c>
      <c r="F161" s="6" t="s">
        <v>397</v>
      </c>
      <c r="G161" s="6" t="s">
        <v>398</v>
      </c>
      <c r="H161" s="5" t="s">
        <v>163</v>
      </c>
      <c r="I161" s="5" t="s">
        <v>267</v>
      </c>
      <c r="J161" s="5" t="s">
        <v>304</v>
      </c>
    </row>
    <row r="162" spans="1:10" ht="25.5" x14ac:dyDescent="0.2">
      <c r="A162" s="4" t="str">
        <f>HYPERLINK("https://projectreporter.nih.gov/project_info_details.cfm?aid=9330665","1U13OH011391-01")</f>
        <v>1U13OH011391-01</v>
      </c>
      <c r="B162" s="5">
        <v>11391</v>
      </c>
      <c r="C162" s="4" t="str">
        <f>HYPERLINK("https://projectreporter.nih.gov/project_info_description.cfm?aid=9330665","Western Agricultural Safety &amp; Health Conference")</f>
        <v>Western Agricultural Safety &amp; Health Conference</v>
      </c>
      <c r="D162" s="5" t="s">
        <v>399</v>
      </c>
      <c r="E162" s="5" t="s">
        <v>208</v>
      </c>
      <c r="F162" s="6" t="s">
        <v>30</v>
      </c>
      <c r="G162" s="6" t="s">
        <v>31</v>
      </c>
      <c r="H162" s="5" t="s">
        <v>32</v>
      </c>
      <c r="I162" s="5" t="s">
        <v>22</v>
      </c>
      <c r="J162" s="5" t="s">
        <v>37</v>
      </c>
    </row>
    <row r="163" spans="1:10" ht="38.25" x14ac:dyDescent="0.2">
      <c r="A163" s="4" t="str">
        <f>HYPERLINK("https://projectreporter.nih.gov/project_info_details.cfm?aid=9361446","1R01OH011410-01")</f>
        <v>1R01OH011410-01</v>
      </c>
      <c r="B163" s="5">
        <v>11410</v>
      </c>
      <c r="C163" s="4" t="str">
        <f>HYPERLINK("https://projectreporter.nih.gov/project_info_description.cfm?aid=9361446","Alternative Fuel Use to Reduce Diesel Emissions Exposure and Toxicity in Mining")</f>
        <v>Alternative Fuel Use to Reduce Diesel Emissions Exposure and Toxicity in Mining</v>
      </c>
      <c r="D163" s="5" t="s">
        <v>10</v>
      </c>
      <c r="E163" s="5" t="s">
        <v>25</v>
      </c>
      <c r="F163" s="6" t="s">
        <v>211</v>
      </c>
      <c r="G163" s="6" t="s">
        <v>212</v>
      </c>
      <c r="H163" s="5" t="s">
        <v>213</v>
      </c>
      <c r="I163" s="5" t="s">
        <v>234</v>
      </c>
      <c r="J163" s="5" t="s">
        <v>194</v>
      </c>
    </row>
    <row r="164" spans="1:10" ht="38.25" x14ac:dyDescent="0.2">
      <c r="A164" s="4" t="str">
        <f>HYPERLINK("https://projectreporter.nih.gov/project_info_details.cfm?aid=9371532","1K01OH011432-01")</f>
        <v>1K01OH011432-01</v>
      </c>
      <c r="B164" s="5">
        <v>11432</v>
      </c>
      <c r="C164" s="4" t="str">
        <f>HYPERLINK("https://projectreporter.nih.gov/project_info_description.cfm?aid=9371532","Epidemiologic and Genomic Evaluation of Influenza D Among Cattle Workers and Their Community")</f>
        <v>Epidemiologic and Genomic Evaluation of Influenza D Among Cattle Workers and Their Community</v>
      </c>
      <c r="D164" s="5" t="s">
        <v>10</v>
      </c>
      <c r="E164" s="5" t="s">
        <v>25</v>
      </c>
      <c r="F164" s="6" t="s">
        <v>400</v>
      </c>
      <c r="G164" s="6" t="s">
        <v>401</v>
      </c>
      <c r="H164" s="5" t="s">
        <v>14</v>
      </c>
      <c r="I164" s="5" t="s">
        <v>22</v>
      </c>
      <c r="J164" s="5" t="s">
        <v>290</v>
      </c>
    </row>
    <row r="165" spans="1:10" ht="25.5" x14ac:dyDescent="0.2">
      <c r="A165" s="4" t="str">
        <f>HYPERLINK("https://projectreporter.nih.gov/project_info_details.cfm?aid=9530023","1R21OH011452-01A1")</f>
        <v>1R21OH011452-01A1</v>
      </c>
      <c r="B165" s="5">
        <v>11452</v>
      </c>
      <c r="C165" s="4" t="str">
        <f>HYPERLINK("https://projectreporter.nih.gov/project_info_description.cfm?aid=9530023","US and Canadian uranium processing cohorts: exposure, risk and relevance")</f>
        <v>US and Canadian uranium processing cohorts: exposure, risk and relevance</v>
      </c>
      <c r="D165" s="5" t="s">
        <v>10</v>
      </c>
      <c r="E165" s="5" t="s">
        <v>231</v>
      </c>
      <c r="F165" s="6" t="s">
        <v>402</v>
      </c>
      <c r="G165" s="6" t="s">
        <v>403</v>
      </c>
      <c r="H165" s="5" t="s">
        <v>44</v>
      </c>
      <c r="I165" s="5" t="s">
        <v>296</v>
      </c>
      <c r="J165" s="5" t="s">
        <v>194</v>
      </c>
    </row>
    <row r="166" spans="1:10" ht="38.25" x14ac:dyDescent="0.2">
      <c r="A166" s="4" t="str">
        <f>HYPERLINK("https://projectreporter.nih.gov/project_info_details.cfm?aid=9595834","1R01OH011511-01A1")</f>
        <v>1R01OH011511-01A1</v>
      </c>
      <c r="B166" s="5">
        <v>11511</v>
      </c>
      <c r="C166" s="4" t="str">
        <f>HYPERLINK("https://projectreporter.nih.gov/project_info_description.cfm?aid=9595834","All-Cause and Cause-Specific Mortality Resulting from Non-Fatal Occupational Injuries")</f>
        <v>All-Cause and Cause-Specific Mortality Resulting from Non-Fatal Occupational Injuries</v>
      </c>
      <c r="D166" s="5" t="s">
        <v>399</v>
      </c>
      <c r="E166" s="5" t="s">
        <v>404</v>
      </c>
      <c r="F166" s="6" t="s">
        <v>405</v>
      </c>
      <c r="G166" s="6" t="s">
        <v>401</v>
      </c>
      <c r="H166" s="5" t="s">
        <v>14</v>
      </c>
      <c r="I166" s="5" t="s">
        <v>61</v>
      </c>
      <c r="J166" s="5" t="s">
        <v>37</v>
      </c>
    </row>
    <row r="167" spans="1:10" ht="38.25" x14ac:dyDescent="0.2">
      <c r="A167" s="4" t="str">
        <f>HYPERLINK("https://projectreporter.nih.gov/project_info_details.cfm?aid=9431311","1K01OH011532-01")</f>
        <v>1K01OH011532-01</v>
      </c>
      <c r="B167" s="5">
        <v>11532</v>
      </c>
      <c r="C167" s="4" t="str">
        <f>HYPERLINK("https://projectreporter.nih.gov/project_info_description.cfm?aid=9431311","Development of a police officer stress algorithm to prevent adverse events: A mixed-methods approach")</f>
        <v>Development of a police officer stress algorithm to prevent adverse events: A mixed-methods approach</v>
      </c>
      <c r="D167" s="5" t="s">
        <v>10</v>
      </c>
      <c r="E167" s="5" t="s">
        <v>25</v>
      </c>
      <c r="F167" s="6" t="s">
        <v>406</v>
      </c>
      <c r="G167" s="6" t="s">
        <v>75</v>
      </c>
      <c r="H167" s="5" t="s">
        <v>21</v>
      </c>
      <c r="I167" s="5" t="s">
        <v>267</v>
      </c>
      <c r="J167" s="5" t="s">
        <v>37</v>
      </c>
    </row>
    <row r="168" spans="1:10" ht="25.5" x14ac:dyDescent="0.2">
      <c r="A168" s="4" t="str">
        <f>HYPERLINK("https://projectreporter.nih.gov/project_info_details.cfm?aid=9434319","1R03OH011540-01")</f>
        <v>1R03OH011540-01</v>
      </c>
      <c r="B168" s="5">
        <v>11540</v>
      </c>
      <c r="C168" s="4" t="str">
        <f>HYPERLINK("https://projectreporter.nih.gov/project_info_description.cfm?aid=9434319","Transgenerational work exposures, EDCs and male fertility")</f>
        <v>Transgenerational work exposures, EDCs and male fertility</v>
      </c>
      <c r="D168" s="5" t="s">
        <v>399</v>
      </c>
      <c r="E168" s="5" t="s">
        <v>189</v>
      </c>
      <c r="F168" s="6" t="s">
        <v>407</v>
      </c>
      <c r="G168" s="6" t="s">
        <v>77</v>
      </c>
      <c r="H168" s="5" t="s">
        <v>28</v>
      </c>
      <c r="I168" s="5" t="s">
        <v>408</v>
      </c>
      <c r="J168" s="5" t="s">
        <v>194</v>
      </c>
    </row>
    <row r="169" spans="1:10" ht="25.5" x14ac:dyDescent="0.2">
      <c r="A169" s="4" t="str">
        <f>HYPERLINK("https://projectreporter.nih.gov/project_info_details.cfm?aid=9601464","1R21OH011552-01A1")</f>
        <v>1R21OH011552-01A1</v>
      </c>
      <c r="B169" s="5">
        <v>11552</v>
      </c>
      <c r="C169" s="4" t="str">
        <f>HYPERLINK("https://projectreporter.nih.gov/project_info_description.cfm?aid=9601464","Improving Communication In Noise When Wearing Hearing Protection")</f>
        <v>Improving Communication In Noise When Wearing Hearing Protection</v>
      </c>
      <c r="D169" s="5" t="s">
        <v>399</v>
      </c>
      <c r="E169" s="5" t="s">
        <v>189</v>
      </c>
      <c r="F169" s="6" t="s">
        <v>409</v>
      </c>
      <c r="G169" s="6" t="s">
        <v>138</v>
      </c>
      <c r="H169" s="5" t="s">
        <v>136</v>
      </c>
      <c r="I169" s="5" t="s">
        <v>410</v>
      </c>
      <c r="J169" s="5" t="s">
        <v>256</v>
      </c>
    </row>
    <row r="170" spans="1:10" ht="25.5" x14ac:dyDescent="0.2">
      <c r="A170" s="4" t="str">
        <f>HYPERLINK("https://projectreporter.nih.gov/project_info_details.cfm?aid=9530168","1R21OH011562-01A1")</f>
        <v>1R21OH011562-01A1</v>
      </c>
      <c r="B170" s="5">
        <v>11562</v>
      </c>
      <c r="C170" s="4" t="str">
        <f>HYPERLINK("https://projectreporter.nih.gov/project_info_description.cfm?aid=9530168","Population-based Genetic Model for Diisocyanate-induced Asthma")</f>
        <v>Population-based Genetic Model for Diisocyanate-induced Asthma</v>
      </c>
      <c r="D170" s="5" t="s">
        <v>399</v>
      </c>
      <c r="E170" s="5" t="s">
        <v>189</v>
      </c>
      <c r="F170" s="6" t="s">
        <v>170</v>
      </c>
      <c r="G170" s="6" t="s">
        <v>171</v>
      </c>
      <c r="H170" s="5" t="s">
        <v>172</v>
      </c>
      <c r="I170" s="5" t="s">
        <v>15</v>
      </c>
      <c r="J170" s="5" t="s">
        <v>290</v>
      </c>
    </row>
    <row r="171" spans="1:10" ht="38.25" x14ac:dyDescent="0.2">
      <c r="A171" s="4" t="str">
        <f>HYPERLINK("https://projectreporter.nih.gov/project_info_details.cfm?aid=9492143","1R01OH011578-01")</f>
        <v>1R01OH011578-01</v>
      </c>
      <c r="B171" s="5">
        <v>11578</v>
      </c>
      <c r="C171" s="4" t="str">
        <f>HYPERLINK("https://projectreporter.nih.gov/project_info_description.cfm?aid=9492143","Occupational Exposure and Health Risk from Dairy Microbiome and Resistome to Dairy Farm Workers")</f>
        <v>Occupational Exposure and Health Risk from Dairy Microbiome and Resistome to Dairy Farm Workers</v>
      </c>
      <c r="D171" s="5" t="s">
        <v>10</v>
      </c>
      <c r="E171" s="5" t="s">
        <v>11</v>
      </c>
      <c r="F171" s="6" t="s">
        <v>411</v>
      </c>
      <c r="G171" s="6" t="s">
        <v>360</v>
      </c>
      <c r="H171" s="5" t="s">
        <v>361</v>
      </c>
      <c r="I171" s="5" t="s">
        <v>22</v>
      </c>
      <c r="J171" s="5" t="s">
        <v>252</v>
      </c>
    </row>
    <row r="172" spans="1:10" ht="25.5" x14ac:dyDescent="0.2">
      <c r="A172" s="4" t="str">
        <f>HYPERLINK("https://projectreporter.nih.gov/project_info_details.cfm?aid=9597425","1R01OH011680-01")</f>
        <v>1R01OH011680-01</v>
      </c>
      <c r="B172" s="5">
        <v>11680</v>
      </c>
      <c r="C172" s="4" t="str">
        <f>HYPERLINK("https://projectreporter.nih.gov/project_info_description.cfm?aid=9597425","Workplace Violence in Outpatient Physician Clinics")</f>
        <v>Workplace Violence in Outpatient Physician Clinics</v>
      </c>
      <c r="D172" s="5" t="s">
        <v>10</v>
      </c>
      <c r="E172" s="5" t="s">
        <v>25</v>
      </c>
      <c r="F172" s="6" t="s">
        <v>412</v>
      </c>
      <c r="G172" s="6" t="s">
        <v>75</v>
      </c>
      <c r="H172" s="5" t="s">
        <v>21</v>
      </c>
      <c r="I172" s="5" t="s">
        <v>55</v>
      </c>
      <c r="J172" s="5" t="s">
        <v>37</v>
      </c>
    </row>
    <row r="173" spans="1:10" ht="51" x14ac:dyDescent="0.2">
      <c r="A173" s="4" t="str">
        <f>HYPERLINK("https://projectreporter.nih.gov/project_info_details.cfm?aid=9622566","1R43OH011714-01")</f>
        <v>1R43OH011714-01</v>
      </c>
      <c r="B173" s="5">
        <v>11714</v>
      </c>
      <c r="C173" s="4" t="str">
        <f>HYPERLINK("https://projectreporter.nih.gov/project_info_description.cfm?aid=9622566","A Wireless Audiometric Headset that Integrates Hearing Testing, Education, and Personalized Hearing Protection Fitting")</f>
        <v>A Wireless Audiometric Headset that Integrates Hearing Testing, Education, and Personalized Hearing Protection Fitting</v>
      </c>
      <c r="D173" s="5" t="s">
        <v>10</v>
      </c>
      <c r="E173" s="5" t="s">
        <v>413</v>
      </c>
      <c r="F173" s="6" t="s">
        <v>414</v>
      </c>
      <c r="G173" s="6" t="s">
        <v>415</v>
      </c>
      <c r="H173" s="5" t="s">
        <v>333</v>
      </c>
      <c r="I173" s="5" t="s">
        <v>15</v>
      </c>
      <c r="J173" s="5" t="s">
        <v>256</v>
      </c>
    </row>
  </sheetData>
  <autoFilter ref="A1:J173">
    <sortState ref="A2:J173">
      <sortCondition ref="B1:B173"/>
    </sortState>
  </autoFilter>
  <pageMargins left="0.25" right="0.25" top="0.75" bottom="0.75" header="0.3" footer="0.3"/>
  <pageSetup scale="99" fitToHeight="0" orientation="landscape" r:id="rId1"/>
  <headerFooter>
    <oddHeader>&amp;CList of Active NIOSH Extramural Awards&amp;RNIOSH / OEP
1-OCT-2018</oddHeader>
    <oddFooter>&amp;CPage: &amp;P or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3"/>
  <sheetViews>
    <sheetView zoomScaleNormal="100" workbookViewId="0">
      <selection activeCell="B2" sqref="B2"/>
    </sheetView>
  </sheetViews>
  <sheetFormatPr defaultRowHeight="15" x14ac:dyDescent="0.25"/>
  <cols>
    <col min="1" max="1" width="2.7109375" customWidth="1"/>
    <col min="2" max="2" width="42.140625" style="11" customWidth="1"/>
    <col min="3" max="3" width="17.42578125" style="11" customWidth="1"/>
    <col min="4" max="4" width="4.5703125" style="11" customWidth="1"/>
    <col min="5" max="5" width="51.140625" style="11" customWidth="1"/>
    <col min="6" max="6" width="23.5703125" style="11" customWidth="1"/>
  </cols>
  <sheetData>
    <row r="1" spans="2:6" ht="15.75" thickBot="1" x14ac:dyDescent="0.3"/>
    <row r="2" spans="2:6" ht="59.25" customHeight="1" thickBot="1" x14ac:dyDescent="0.3">
      <c r="B2" s="12" t="s">
        <v>416</v>
      </c>
      <c r="C2" s="13" t="s">
        <v>417</v>
      </c>
      <c r="E2" s="14" t="s">
        <v>418</v>
      </c>
      <c r="F2" s="13" t="s">
        <v>419</v>
      </c>
    </row>
    <row r="3" spans="2:6" ht="15.75" thickBot="1" x14ac:dyDescent="0.3">
      <c r="B3" s="15" t="s">
        <v>420</v>
      </c>
      <c r="C3" s="16" t="s">
        <v>22</v>
      </c>
      <c r="E3" s="15" t="s">
        <v>421</v>
      </c>
      <c r="F3" s="16" t="s">
        <v>194</v>
      </c>
    </row>
    <row r="4" spans="2:6" ht="15.75" thickBot="1" x14ac:dyDescent="0.3">
      <c r="B4" s="17" t="s">
        <v>422</v>
      </c>
      <c r="C4" s="18" t="s">
        <v>218</v>
      </c>
      <c r="E4" s="17" t="s">
        <v>423</v>
      </c>
      <c r="F4" s="18" t="s">
        <v>256</v>
      </c>
    </row>
    <row r="5" spans="2:6" ht="15.75" thickBot="1" x14ac:dyDescent="0.3">
      <c r="B5" s="15" t="s">
        <v>424</v>
      </c>
      <c r="C5" s="19" t="s">
        <v>55</v>
      </c>
      <c r="E5" s="15" t="s">
        <v>425</v>
      </c>
      <c r="F5" s="16" t="s">
        <v>185</v>
      </c>
    </row>
    <row r="6" spans="2:6" ht="15.75" thickBot="1" x14ac:dyDescent="0.3">
      <c r="B6" s="17" t="s">
        <v>426</v>
      </c>
      <c r="C6" s="18" t="s">
        <v>427</v>
      </c>
      <c r="E6" s="17" t="s">
        <v>428</v>
      </c>
      <c r="F6" s="18" t="s">
        <v>244</v>
      </c>
    </row>
    <row r="7" spans="2:6" ht="15.75" thickBot="1" x14ac:dyDescent="0.3">
      <c r="B7" s="15" t="s">
        <v>429</v>
      </c>
      <c r="C7" s="16" t="s">
        <v>234</v>
      </c>
      <c r="E7" s="15" t="s">
        <v>430</v>
      </c>
      <c r="F7" s="16" t="s">
        <v>16</v>
      </c>
    </row>
    <row r="8" spans="2:6" ht="15.75" thickBot="1" x14ac:dyDescent="0.3">
      <c r="B8" s="17" t="s">
        <v>431</v>
      </c>
      <c r="C8" s="18" t="s">
        <v>432</v>
      </c>
      <c r="E8" s="17" t="s">
        <v>433</v>
      </c>
      <c r="F8" s="18" t="s">
        <v>37</v>
      </c>
    </row>
    <row r="9" spans="2:6" ht="15.75" thickBot="1" x14ac:dyDescent="0.3">
      <c r="B9" s="15" t="s">
        <v>434</v>
      </c>
      <c r="C9" s="16" t="s">
        <v>267</v>
      </c>
      <c r="E9" s="15" t="s">
        <v>435</v>
      </c>
      <c r="F9" s="16" t="s">
        <v>252</v>
      </c>
    </row>
    <row r="10" spans="2:6" ht="15.75" thickBot="1" x14ac:dyDescent="0.3">
      <c r="B10" s="17" t="s">
        <v>436</v>
      </c>
      <c r="C10" s="18" t="s">
        <v>273</v>
      </c>
    </row>
    <row r="11" spans="2:6" ht="15.75" thickBot="1" x14ac:dyDescent="0.3">
      <c r="B11" s="15" t="s">
        <v>437</v>
      </c>
      <c r="C11" s="16" t="s">
        <v>358</v>
      </c>
    </row>
    <row r="12" spans="2:6" ht="15.75" thickBot="1" x14ac:dyDescent="0.3">
      <c r="B12" s="17" t="s">
        <v>438</v>
      </c>
      <c r="C12" s="18" t="s">
        <v>243</v>
      </c>
    </row>
    <row r="13" spans="2:6" ht="45" customHeight="1" x14ac:dyDescent="0.25"/>
  </sheetData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6947D4-E477-47E0-89B8-19DC8456A741}"/>
</file>

<file path=customXml/itemProps2.xml><?xml version="1.0" encoding="utf-8"?>
<ds:datastoreItem xmlns:ds="http://schemas.openxmlformats.org/officeDocument/2006/customXml" ds:itemID="{A9DBF655-CF60-4482-B841-DB359EE923DA}"/>
</file>

<file path=customXml/itemProps3.xml><?xml version="1.0" encoding="utf-8"?>
<ds:datastoreItem xmlns:ds="http://schemas.openxmlformats.org/officeDocument/2006/customXml" ds:itemID="{7B66322C-4DFF-46C7-92FA-4E452ECF49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NIOSH OEP Awards</vt:lpstr>
      <vt:lpstr>Acronym Glossary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Grandillo, Peter E. (CDC/NIOSH/OD)</dc:creator>
  <cp:lastModifiedBy>Grandillo, Peter E. (CDC/NIOSH/OD)</cp:lastModifiedBy>
  <dcterms:created xsi:type="dcterms:W3CDTF">2018-12-12T15:56:31Z</dcterms:created>
  <dcterms:modified xsi:type="dcterms:W3CDTF">2018-12-12T16:11:21Z</dcterms:modified>
</cp:coreProperties>
</file>