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IRD_OD_HCSO\NCIRD_Web\~Liz-Gueguen\~NCIRD_work in progress\~OCTOBER-2017\NEW-MMR spreadsheets\508\"/>
    </mc:Choice>
  </mc:AlternateContent>
  <bookViews>
    <workbookView xWindow="0" yWindow="0" windowWidth="25200" windowHeight="11250" activeTab="2"/>
  </bookViews>
  <sheets>
    <sheet name="16.VAX BY 19 MONTHS" sheetId="2" r:id="rId1"/>
    <sheet name="17.VAX BY 24 MONTHS " sheetId="3" r:id="rId2"/>
    <sheet name="18.VAX BY 35 MONTHS UPDATED" sheetId="5" r:id="rId3"/>
  </sheets>
  <definedNames>
    <definedName name="MYRESULTSALL201516ALL" localSheetId="1">'17.VAX BY 24 MONTHS '!$A$4:$F$40</definedName>
    <definedName name="MYRESULTSALL201516ALL" localSheetId="2">'18.VAX BY 35 MONTHS UPDATED'!$A$4:$F$40</definedName>
    <definedName name="MYRESULTSALL201516ALL">'16.VAX BY 19 MONTHS'!$A$4:$F$40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5" l="1"/>
  <c r="Q40" i="5"/>
  <c r="P40" i="5"/>
  <c r="N40" i="5"/>
  <c r="M40" i="5"/>
  <c r="L40" i="5"/>
  <c r="J40" i="5"/>
  <c r="I40" i="5"/>
  <c r="H40" i="5"/>
  <c r="F40" i="5"/>
  <c r="E40" i="5"/>
  <c r="D40" i="5"/>
  <c r="R35" i="5"/>
  <c r="Q35" i="5"/>
  <c r="P35" i="5"/>
  <c r="N35" i="5"/>
  <c r="M35" i="5"/>
  <c r="L35" i="5"/>
  <c r="J35" i="5"/>
  <c r="I35" i="5"/>
  <c r="H35" i="5"/>
  <c r="F35" i="5"/>
  <c r="E35" i="5"/>
  <c r="D35" i="5"/>
  <c r="R33" i="5"/>
  <c r="Q33" i="5"/>
  <c r="P33" i="5"/>
  <c r="N33" i="5"/>
  <c r="M33" i="5"/>
  <c r="L33" i="5"/>
  <c r="J33" i="5"/>
  <c r="I33" i="5"/>
  <c r="H33" i="5"/>
  <c r="F33" i="5"/>
  <c r="E33" i="5"/>
  <c r="D33" i="5"/>
  <c r="R30" i="5"/>
  <c r="Q30" i="5"/>
  <c r="P30" i="5"/>
  <c r="N30" i="5"/>
  <c r="M30" i="5"/>
  <c r="L30" i="5"/>
  <c r="J30" i="5"/>
  <c r="I30" i="5"/>
  <c r="H30" i="5"/>
  <c r="F30" i="5"/>
  <c r="E30" i="5"/>
  <c r="D30" i="5"/>
  <c r="R28" i="5"/>
  <c r="Q28" i="5"/>
  <c r="P28" i="5"/>
  <c r="N28" i="5"/>
  <c r="M28" i="5"/>
  <c r="L28" i="5"/>
  <c r="J28" i="5"/>
  <c r="I28" i="5"/>
  <c r="H28" i="5"/>
  <c r="F28" i="5"/>
  <c r="E28" i="5"/>
  <c r="D28" i="5"/>
  <c r="R25" i="5"/>
  <c r="Q25" i="5"/>
  <c r="P25" i="5"/>
  <c r="N25" i="5"/>
  <c r="M25" i="5"/>
  <c r="L25" i="5"/>
  <c r="J25" i="5"/>
  <c r="I25" i="5"/>
  <c r="H25" i="5"/>
  <c r="F25" i="5"/>
  <c r="E25" i="5"/>
  <c r="D25" i="5"/>
  <c r="R23" i="5"/>
  <c r="Q23" i="5"/>
  <c r="P23" i="5"/>
  <c r="N23" i="5"/>
  <c r="M23" i="5"/>
  <c r="L23" i="5"/>
  <c r="J23" i="5"/>
  <c r="I23" i="5"/>
  <c r="H23" i="5"/>
  <c r="F23" i="5"/>
  <c r="E23" i="5"/>
  <c r="D23" i="5"/>
  <c r="R18" i="5"/>
  <c r="Q18" i="5"/>
  <c r="P18" i="5"/>
  <c r="N18" i="5"/>
  <c r="M18" i="5"/>
  <c r="L18" i="5"/>
  <c r="J18" i="5"/>
  <c r="I18" i="5"/>
  <c r="H18" i="5"/>
  <c r="F18" i="5"/>
  <c r="E18" i="5"/>
  <c r="D18" i="5"/>
  <c r="R16" i="5"/>
  <c r="Q16" i="5"/>
  <c r="P16" i="5"/>
  <c r="N16" i="5"/>
  <c r="M16" i="5"/>
  <c r="L16" i="5"/>
  <c r="J16" i="5"/>
  <c r="I16" i="5"/>
  <c r="H16" i="5"/>
  <c r="F16" i="5"/>
  <c r="E16" i="5"/>
  <c r="D16" i="5"/>
  <c r="R13" i="5"/>
  <c r="Q13" i="5"/>
  <c r="P13" i="5"/>
  <c r="N13" i="5"/>
  <c r="M13" i="5"/>
  <c r="L13" i="5"/>
  <c r="J13" i="5"/>
  <c r="I13" i="5"/>
  <c r="H13" i="5"/>
  <c r="F13" i="5"/>
  <c r="E13" i="5"/>
  <c r="D13" i="5"/>
  <c r="R11" i="5"/>
  <c r="Q11" i="5"/>
  <c r="P11" i="5"/>
  <c r="N11" i="5"/>
  <c r="M11" i="5"/>
  <c r="L11" i="5"/>
  <c r="J11" i="5"/>
  <c r="I11" i="5"/>
  <c r="H11" i="5"/>
  <c r="F11" i="5"/>
  <c r="E11" i="5"/>
  <c r="D11" i="5"/>
  <c r="R9" i="5"/>
  <c r="Q9" i="5"/>
  <c r="P9" i="5"/>
  <c r="N9" i="5"/>
  <c r="M9" i="5"/>
  <c r="L9" i="5"/>
  <c r="J9" i="5"/>
  <c r="I9" i="5"/>
  <c r="H9" i="5"/>
  <c r="F9" i="5"/>
  <c r="E9" i="5"/>
  <c r="D9" i="5"/>
  <c r="R7" i="5"/>
  <c r="Q7" i="5"/>
  <c r="P7" i="5"/>
  <c r="N7" i="5"/>
  <c r="M7" i="5"/>
  <c r="L7" i="5"/>
  <c r="J7" i="5"/>
  <c r="I7" i="5"/>
  <c r="H7" i="5"/>
  <c r="F7" i="5"/>
  <c r="E7" i="5"/>
  <c r="D7" i="5"/>
  <c r="R40" i="3"/>
  <c r="Q40" i="3"/>
  <c r="P40" i="3"/>
  <c r="N40" i="3"/>
  <c r="M40" i="3"/>
  <c r="L40" i="3"/>
  <c r="J40" i="3"/>
  <c r="I40" i="3"/>
  <c r="H40" i="3"/>
  <c r="F40" i="3"/>
  <c r="E40" i="3"/>
  <c r="D40" i="3"/>
  <c r="R35" i="3"/>
  <c r="Q35" i="3"/>
  <c r="P35" i="3"/>
  <c r="N35" i="3"/>
  <c r="M35" i="3"/>
  <c r="L35" i="3"/>
  <c r="J35" i="3"/>
  <c r="I35" i="3"/>
  <c r="H35" i="3"/>
  <c r="F35" i="3"/>
  <c r="E35" i="3"/>
  <c r="D35" i="3"/>
  <c r="R33" i="3"/>
  <c r="Q33" i="3"/>
  <c r="P33" i="3"/>
  <c r="N33" i="3"/>
  <c r="M33" i="3"/>
  <c r="L33" i="3"/>
  <c r="J33" i="3"/>
  <c r="I33" i="3"/>
  <c r="H33" i="3"/>
  <c r="F33" i="3"/>
  <c r="E33" i="3"/>
  <c r="D33" i="3"/>
  <c r="R30" i="3"/>
  <c r="Q30" i="3"/>
  <c r="P30" i="3"/>
  <c r="N30" i="3"/>
  <c r="M30" i="3"/>
  <c r="L30" i="3"/>
  <c r="J30" i="3"/>
  <c r="I30" i="3"/>
  <c r="H30" i="3"/>
  <c r="F30" i="3"/>
  <c r="E30" i="3"/>
  <c r="D30" i="3"/>
  <c r="R28" i="3"/>
  <c r="Q28" i="3"/>
  <c r="P28" i="3"/>
  <c r="N28" i="3"/>
  <c r="M28" i="3"/>
  <c r="L28" i="3"/>
  <c r="J28" i="3"/>
  <c r="I28" i="3"/>
  <c r="H28" i="3"/>
  <c r="F28" i="3"/>
  <c r="E28" i="3"/>
  <c r="D28" i="3"/>
  <c r="R25" i="3"/>
  <c r="Q25" i="3"/>
  <c r="P25" i="3"/>
  <c r="N25" i="3"/>
  <c r="M25" i="3"/>
  <c r="L25" i="3"/>
  <c r="J25" i="3"/>
  <c r="I25" i="3"/>
  <c r="H25" i="3"/>
  <c r="F25" i="3"/>
  <c r="E25" i="3"/>
  <c r="D25" i="3"/>
  <c r="R23" i="3"/>
  <c r="Q23" i="3"/>
  <c r="P23" i="3"/>
  <c r="N23" i="3"/>
  <c r="M23" i="3"/>
  <c r="L23" i="3"/>
  <c r="J23" i="3"/>
  <c r="I23" i="3"/>
  <c r="H23" i="3"/>
  <c r="F23" i="3"/>
  <c r="E23" i="3"/>
  <c r="D23" i="3"/>
  <c r="R18" i="3"/>
  <c r="Q18" i="3"/>
  <c r="P18" i="3"/>
  <c r="N18" i="3"/>
  <c r="M18" i="3"/>
  <c r="L18" i="3"/>
  <c r="J18" i="3"/>
  <c r="I18" i="3"/>
  <c r="H18" i="3"/>
  <c r="F18" i="3"/>
  <c r="E18" i="3"/>
  <c r="D18" i="3"/>
  <c r="R16" i="3"/>
  <c r="Q16" i="3"/>
  <c r="P16" i="3"/>
  <c r="N16" i="3"/>
  <c r="M16" i="3"/>
  <c r="L16" i="3"/>
  <c r="J16" i="3"/>
  <c r="I16" i="3"/>
  <c r="H16" i="3"/>
  <c r="F16" i="3"/>
  <c r="E16" i="3"/>
  <c r="D16" i="3"/>
  <c r="R13" i="3"/>
  <c r="Q13" i="3"/>
  <c r="P13" i="3"/>
  <c r="N13" i="3"/>
  <c r="M13" i="3"/>
  <c r="L13" i="3"/>
  <c r="J13" i="3"/>
  <c r="I13" i="3"/>
  <c r="H13" i="3"/>
  <c r="F13" i="3"/>
  <c r="E13" i="3"/>
  <c r="D13" i="3"/>
  <c r="R11" i="3"/>
  <c r="Q11" i="3"/>
  <c r="P11" i="3"/>
  <c r="N11" i="3"/>
  <c r="M11" i="3"/>
  <c r="L11" i="3"/>
  <c r="J11" i="3"/>
  <c r="I11" i="3"/>
  <c r="H11" i="3"/>
  <c r="F11" i="3"/>
  <c r="E11" i="3"/>
  <c r="D11" i="3"/>
  <c r="R9" i="3"/>
  <c r="R7" i="3"/>
  <c r="Q9" i="3"/>
  <c r="P9" i="3"/>
  <c r="N9" i="3"/>
  <c r="M9" i="3"/>
  <c r="L9" i="3"/>
  <c r="J9" i="3"/>
  <c r="I9" i="3"/>
  <c r="H9" i="3"/>
  <c r="F9" i="3"/>
  <c r="E9" i="3"/>
  <c r="D9" i="3"/>
  <c r="Q7" i="3"/>
  <c r="P7" i="3"/>
  <c r="N7" i="3"/>
  <c r="M7" i="3"/>
  <c r="L7" i="3"/>
  <c r="J7" i="3"/>
  <c r="I7" i="3"/>
  <c r="H7" i="3"/>
  <c r="F7" i="3"/>
  <c r="E7" i="3"/>
  <c r="D7" i="3"/>
  <c r="F18" i="2" l="1"/>
  <c r="F16" i="2"/>
  <c r="F11" i="2"/>
  <c r="F9" i="2"/>
  <c r="F7" i="2"/>
  <c r="E40" i="2"/>
  <c r="E37" i="2"/>
  <c r="E35" i="2"/>
  <c r="E33" i="2"/>
  <c r="E30" i="2"/>
  <c r="E28" i="2"/>
  <c r="E25" i="2"/>
  <c r="E23" i="2"/>
  <c r="F13" i="2"/>
  <c r="D13" i="2"/>
  <c r="R40" i="2" l="1"/>
  <c r="R37" i="2"/>
  <c r="R35" i="2"/>
  <c r="R33" i="2"/>
  <c r="R30" i="2"/>
  <c r="R28" i="2"/>
  <c r="R25" i="2"/>
  <c r="R23" i="2"/>
  <c r="R18" i="2"/>
  <c r="R16" i="2"/>
  <c r="R13" i="2"/>
  <c r="R11" i="2"/>
  <c r="R9" i="2"/>
  <c r="R7" i="2"/>
  <c r="Q40" i="2"/>
  <c r="Q37" i="2"/>
  <c r="Q35" i="2"/>
  <c r="Q33" i="2"/>
  <c r="Q30" i="2"/>
  <c r="Q28" i="2"/>
  <c r="Q25" i="2"/>
  <c r="Q23" i="2"/>
  <c r="Q18" i="2"/>
  <c r="Q16" i="2"/>
  <c r="Q13" i="2"/>
  <c r="Q11" i="2"/>
  <c r="Q9" i="2"/>
  <c r="Q7" i="2"/>
  <c r="P40" i="2"/>
  <c r="P37" i="2"/>
  <c r="P35" i="2"/>
  <c r="P33" i="2"/>
  <c r="P30" i="2"/>
  <c r="P28" i="2"/>
  <c r="P25" i="2"/>
  <c r="P23" i="2"/>
  <c r="P18" i="2"/>
  <c r="P16" i="2"/>
  <c r="P13" i="2"/>
  <c r="P11" i="2"/>
  <c r="P9" i="2"/>
  <c r="P7" i="2"/>
  <c r="N40" i="2"/>
  <c r="N37" i="2"/>
  <c r="N35" i="2"/>
  <c r="N33" i="2"/>
  <c r="N30" i="2"/>
  <c r="N28" i="2"/>
  <c r="N25" i="2"/>
  <c r="N23" i="2"/>
  <c r="N18" i="2"/>
  <c r="N16" i="2"/>
  <c r="N13" i="2"/>
  <c r="N11" i="2"/>
  <c r="N9" i="2"/>
  <c r="N7" i="2"/>
  <c r="M40" i="2"/>
  <c r="M37" i="2"/>
  <c r="M35" i="2"/>
  <c r="M33" i="2"/>
  <c r="M30" i="2"/>
  <c r="M28" i="2"/>
  <c r="M25" i="2"/>
  <c r="M23" i="2"/>
  <c r="M18" i="2"/>
  <c r="M16" i="2"/>
  <c r="M13" i="2"/>
  <c r="M11" i="2"/>
  <c r="M9" i="2"/>
  <c r="M7" i="2"/>
  <c r="L40" i="2"/>
  <c r="L37" i="2"/>
  <c r="L35" i="2"/>
  <c r="L33" i="2"/>
  <c r="L30" i="2"/>
  <c r="L28" i="2"/>
  <c r="L25" i="2"/>
  <c r="L23" i="2"/>
  <c r="L18" i="2"/>
  <c r="L16" i="2"/>
  <c r="L13" i="2"/>
  <c r="L11" i="2"/>
  <c r="L9" i="2"/>
  <c r="L7" i="2"/>
  <c r="J40" i="2"/>
  <c r="J37" i="2"/>
  <c r="J35" i="2"/>
  <c r="J33" i="2"/>
  <c r="J30" i="2"/>
  <c r="J28" i="2"/>
  <c r="J25" i="2"/>
  <c r="J23" i="2"/>
  <c r="J18" i="2"/>
  <c r="J16" i="2"/>
  <c r="J13" i="2"/>
  <c r="J11" i="2"/>
  <c r="J9" i="2"/>
  <c r="J7" i="2"/>
  <c r="I40" i="2"/>
  <c r="I37" i="2"/>
  <c r="I35" i="2"/>
  <c r="I33" i="2"/>
  <c r="I30" i="2"/>
  <c r="I28" i="2"/>
  <c r="I25" i="2"/>
  <c r="I23" i="2"/>
  <c r="I18" i="2"/>
  <c r="I16" i="2"/>
  <c r="I13" i="2"/>
  <c r="I11" i="2"/>
  <c r="I9" i="2"/>
  <c r="I7" i="2"/>
  <c r="H40" i="2"/>
  <c r="H37" i="2"/>
  <c r="H35" i="2"/>
  <c r="H33" i="2"/>
  <c r="H30" i="2"/>
  <c r="H28" i="2"/>
  <c r="H25" i="2"/>
  <c r="H23" i="2"/>
  <c r="H18" i="2"/>
  <c r="H16" i="2"/>
  <c r="H13" i="2"/>
  <c r="H11" i="2"/>
  <c r="H9" i="2"/>
  <c r="H7" i="2"/>
  <c r="F40" i="2"/>
  <c r="F37" i="2"/>
  <c r="F35" i="2"/>
  <c r="F33" i="2"/>
  <c r="F30" i="2"/>
  <c r="F28" i="2"/>
  <c r="F25" i="2"/>
  <c r="F23" i="2"/>
  <c r="E18" i="2"/>
  <c r="E16" i="2"/>
  <c r="E13" i="2"/>
  <c r="E11" i="2"/>
  <c r="E9" i="2"/>
  <c r="E7" i="2"/>
  <c r="D40" i="2"/>
  <c r="D37" i="2"/>
  <c r="D35" i="2"/>
  <c r="D33" i="2"/>
  <c r="D30" i="2"/>
  <c r="D28" i="2"/>
  <c r="D25" i="2"/>
  <c r="D23" i="2"/>
  <c r="D18" i="2"/>
  <c r="D16" i="2"/>
  <c r="D11" i="2"/>
  <c r="D9" i="2"/>
  <c r="D7" i="2"/>
</calcChain>
</file>

<file path=xl/sharedStrings.xml><?xml version="1.0" encoding="utf-8"?>
<sst xmlns="http://schemas.openxmlformats.org/spreadsheetml/2006/main" count="231" uniqueCount="56">
  <si>
    <t>≥ 3 doses</t>
  </si>
  <si>
    <t>Primary series</t>
  </si>
  <si>
    <t>Full series</t>
  </si>
  <si>
    <t>PCV</t>
  </si>
  <si>
    <t xml:space="preserve"> ≥ 2 doses</t>
  </si>
  <si>
    <t>Estimate</t>
  </si>
  <si>
    <t>≥ 4 doses</t>
  </si>
  <si>
    <r>
      <t>Rotavirus</t>
    </r>
    <r>
      <rPr>
        <b/>
        <vertAlign val="superscript"/>
        <sz val="10"/>
        <rFont val="Calibri"/>
        <family val="2"/>
        <scheme val="minor"/>
      </rPr>
      <t>††</t>
    </r>
  </si>
  <si>
    <t>Vaccine/Dose</t>
  </si>
  <si>
    <t>DTaP*</t>
  </si>
  <si>
    <r>
      <t>Poliovirus (</t>
    </r>
    <r>
      <rPr>
        <b/>
        <sz val="10"/>
        <rFont val="Calibri"/>
        <family val="2"/>
      </rPr>
      <t>≥3 doses)</t>
    </r>
  </si>
  <si>
    <t>MMR (≥ 1 dose)</t>
  </si>
  <si>
    <r>
      <t>Hib</t>
    </r>
    <r>
      <rPr>
        <b/>
        <vertAlign val="superscript"/>
        <sz val="10"/>
        <rFont val="Calibri"/>
        <family val="2"/>
      </rPr>
      <t>¶</t>
    </r>
  </si>
  <si>
    <t>HepB</t>
  </si>
  <si>
    <t>Birth dose**</t>
  </si>
  <si>
    <t>Varicella (≥ 1 dose)</t>
  </si>
  <si>
    <t>HepA</t>
  </si>
  <si>
    <r>
      <t>Combined series</t>
    </r>
    <r>
      <rPr>
        <b/>
        <vertAlign val="superscript"/>
        <sz val="10"/>
        <rFont val="Calibri"/>
        <family val="2"/>
      </rPr>
      <t>§§</t>
    </r>
  </si>
  <si>
    <t>Baseline Coverage</t>
  </si>
  <si>
    <t>12-month Change</t>
  </si>
  <si>
    <r>
      <t>Baseline Coverage</t>
    </r>
    <r>
      <rPr>
        <vertAlign val="superscript"/>
        <sz val="10"/>
        <rFont val="Calibri"/>
        <family val="2"/>
      </rPr>
      <t>†</t>
    </r>
  </si>
  <si>
    <r>
      <t>12-month Change</t>
    </r>
    <r>
      <rPr>
        <vertAlign val="superscript"/>
        <sz val="10"/>
        <rFont val="Calibri"/>
        <family val="2"/>
      </rPr>
      <t>§</t>
    </r>
  </si>
  <si>
    <t>Lower CI</t>
  </si>
  <si>
    <t>Upper CI</t>
  </si>
  <si>
    <t>Births January 2009-May 2015 (Survey Years 2012-2016)</t>
  </si>
  <si>
    <t>Births January 2009-May 2014 (Survey Years 2012-2015)</t>
  </si>
  <si>
    <t>Births January 2009-May 2015 (Survey Years 2012-2014, 2016)</t>
  </si>
  <si>
    <t>Births January 2012-May 2015 (Survey Years 2015-2016)</t>
  </si>
  <si>
    <r>
      <rPr>
        <b/>
        <sz val="9"/>
        <rFont val="Calibri"/>
        <family val="2"/>
        <scheme val="minor"/>
      </rPr>
      <t>Bolded</t>
    </r>
    <r>
      <rPr>
        <sz val="9"/>
        <rFont val="Calibri"/>
        <family val="2"/>
        <scheme val="minor"/>
      </rPr>
      <t xml:space="preserve"> estimates of 12-month change in coverage are statistically significant at p&lt;0.05, where the 95% CI does not contain zero.</t>
    </r>
  </si>
  <si>
    <t>* Includes children who might have been vaccinated with diphtheria and tetanus toxoids vaccine or diphtheria, tetanus toxoids, and pertussis vaccine.</t>
  </si>
  <si>
    <r>
      <rPr>
        <vertAlign val="superscript"/>
        <sz val="9"/>
        <rFont val="Calibri"/>
        <family val="2"/>
      </rPr>
      <t>§</t>
    </r>
    <r>
      <rPr>
        <sz val="9"/>
        <rFont val="Calibri"/>
        <family val="2"/>
      </rPr>
      <t xml:space="preserve"> Percentage point change in coverage over 12 months of birth, estimated as the per-month-of-birth slope of the fitted regression line*12.</t>
    </r>
  </si>
  <si>
    <r>
      <rPr>
        <vertAlign val="superscript"/>
        <sz val="9"/>
        <rFont val="Calibri"/>
        <family val="2"/>
      </rPr>
      <t>¶</t>
    </r>
    <r>
      <rPr>
        <sz val="11.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Hib primary series: receipt of </t>
    </r>
    <r>
      <rPr>
        <sz val="9"/>
        <rFont val="Calibri"/>
        <family val="2"/>
      </rPr>
      <t>≥2 or ≥3 doses, depending on the product type received. Full series: receipt of ≥3 or ≥4 doses, depending on product type received (primary series and booster dose).</t>
    </r>
  </si>
  <si>
    <t>** One dose HepB administered between birth and age 3 days.</t>
  </si>
  <si>
    <r>
      <rPr>
        <vertAlign val="superscript"/>
        <sz val="9"/>
        <rFont val="Calibri"/>
        <family val="2"/>
      </rPr>
      <t>††</t>
    </r>
    <r>
      <rPr>
        <sz val="11.7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Rotavirus vaccine includes </t>
    </r>
    <r>
      <rPr>
        <sz val="9"/>
        <rFont val="Calibri"/>
        <family val="2"/>
      </rPr>
      <t>≥2 or ≥3 doses, depending on the product type received (≥2 doses for Rotarix [RV1] and ≥3 doses for Rotateq [RV5]).</t>
    </r>
  </si>
  <si>
    <r>
      <rPr>
        <vertAlign val="superscript"/>
        <sz val="9"/>
        <rFont val="Calibri"/>
        <family val="2"/>
      </rPr>
      <t>§§</t>
    </r>
    <r>
      <rPr>
        <sz val="9"/>
        <rFont val="Calibri"/>
        <family val="2"/>
      </rPr>
      <t xml:space="preserve"> </t>
    </r>
    <r>
      <rPr>
        <sz val="9"/>
        <rFont val="Calibri"/>
        <family val="2"/>
        <scheme val="minor"/>
      </rPr>
      <t xml:space="preserve">The combined seven-vaccine series (4:3:1:3*:3:1:4) includes </t>
    </r>
    <r>
      <rPr>
        <sz val="9"/>
        <rFont val="Calibri"/>
        <family val="2"/>
      </rPr>
      <t>≥4 doses of DTaP, ≥3 doses of poliovirus vaccine, ≥1 dose of measles-containing vaccine, the full series of Hib (≥3 or ≥4 doses, depending on product type of vaccine), ≥3 doses HepB, ≥1 dose of varicella vaccine, and ≥4 doses of PCV.</t>
    </r>
  </si>
  <si>
    <t xml:space="preserve"> ≥ 1 dose</t>
  </si>
  <si>
    <t>Births January 2009-January 2015 (Survey Years 2012-2016)</t>
  </si>
  <si>
    <t>Births January 2009-January 2014 (Survey Years 2012-2015)</t>
  </si>
  <si>
    <t>Births January 2009-January 2015 (Survey Years 2012-2014, 2016)</t>
  </si>
  <si>
    <t>Births January 2012-January 2015 (Survey Years 2015-2016)</t>
  </si>
  <si>
    <r>
      <rPr>
        <vertAlign val="superscript"/>
        <sz val="9"/>
        <rFont val="Calibri"/>
        <family val="2"/>
        <scheme val="minor"/>
      </rPr>
      <t>§</t>
    </r>
    <r>
      <rPr>
        <sz val="9"/>
        <rFont val="Calibri"/>
        <family val="2"/>
        <scheme val="minor"/>
      </rPr>
      <t xml:space="preserve"> Percentage point change in coverage over 12 months of birth, estimated as the per-month-of-birth slope of the fitted regression line*12.</t>
    </r>
  </si>
  <si>
    <r>
      <rPr>
        <vertAlign val="superscript"/>
        <sz val="9"/>
        <rFont val="Calibri"/>
        <family val="2"/>
        <scheme val="minor"/>
      </rPr>
      <t>¶</t>
    </r>
    <r>
      <rPr>
        <sz val="9"/>
        <rFont val="Calibri"/>
        <family val="2"/>
        <scheme val="minor"/>
      </rPr>
      <t xml:space="preserve"> Hib primary series: receipt of ≥2 or ≥3 doses, depending on the product type received. Full series: receipt of ≥3 or ≥4 doses, depending on product type received (primary series and booster dose).</t>
    </r>
  </si>
  <si>
    <t>** The hepatitis birth dose (one dose HepB administered between birth and age 3 days) was assessed by 19 months only, since no further vaccination would be expected after that time.</t>
  </si>
  <si>
    <r>
      <rPr>
        <vertAlign val="superscript"/>
        <sz val="9"/>
        <rFont val="Calibri"/>
        <family val="2"/>
        <scheme val="minor"/>
      </rPr>
      <t>††</t>
    </r>
    <r>
      <rPr>
        <sz val="9"/>
        <rFont val="Calibri"/>
        <family val="2"/>
        <scheme val="minor"/>
      </rPr>
      <t xml:space="preserve"> Rotavirus vaccine was assessed at 19 months only, since the age at vaccination should not exceed 8 months and thus no further vaccination would be expected after that time.</t>
    </r>
  </si>
  <si>
    <r>
      <rPr>
        <vertAlign val="superscript"/>
        <sz val="9"/>
        <rFont val="Calibri"/>
        <family val="2"/>
        <scheme val="minor"/>
      </rPr>
      <t>§§</t>
    </r>
    <r>
      <rPr>
        <sz val="9"/>
        <rFont val="Calibri"/>
        <family val="2"/>
        <scheme val="minor"/>
      </rPr>
      <t xml:space="preserve"> The combined seven-vaccine series (4:3:1:3*:3:1:4) includes ≥4 doses of DTaP, ≥3 doses of poliovirus vaccine, ≥1 dose of measles-containing vaccine, the full series of Hib (≥3 or ≥4 doses, depending on product type of vaccine), ≥3 doses HepB, ≥1 dose of varicella vaccine, and ≥4 doses of PCV.</t>
    </r>
  </si>
  <si>
    <r>
      <rPr>
        <b/>
        <sz val="10"/>
        <rFont val="Calibri"/>
        <family val="2"/>
        <scheme val="minor"/>
      </rPr>
      <t>Combined series</t>
    </r>
    <r>
      <rPr>
        <b/>
        <vertAlign val="superscript"/>
        <sz val="10"/>
        <rFont val="Calibri"/>
        <family val="2"/>
        <scheme val="minor"/>
      </rPr>
      <t>§§</t>
    </r>
  </si>
  <si>
    <t>Births January 2009-February 2014 (Survey Years 2012-2016)</t>
  </si>
  <si>
    <t>Births January 2009-February 2013 (Survey Years 2012-2015)</t>
  </si>
  <si>
    <t>Births January 2009-February 2012, January 2013-February 2014                                                             (Survey Years 2012-2014, 2016)</t>
  </si>
  <si>
    <t>Births January 2012-February 2014 (Survey Years 2015-2016)</t>
  </si>
  <si>
    <r>
      <rPr>
        <vertAlign val="superscript"/>
        <sz val="9"/>
        <rFont val="Calibri"/>
        <family val="2"/>
        <scheme val="minor"/>
      </rPr>
      <t>†</t>
    </r>
    <r>
      <rPr>
        <sz val="9"/>
        <rFont val="Calibri"/>
        <family val="2"/>
        <scheme val="minor"/>
      </rPr>
      <t xml:space="preserve"> Estimated vaccination coverage for the oldest monthly birth cohort included in the linear regression analysis (the estimated intercept for the fitted linear regression line).</t>
    </r>
  </si>
  <si>
    <t>TABLE 16. Estimated linear trends in vaccination coverage by age 19 months, National Immunization Survey (NIS)-Child, United States, 2012-2016</t>
  </si>
  <si>
    <t>TABLE 17. Estimated linear trends in vaccination coverage by age 24 months, National Immunization Survey (NIS)-Child, United States, 2012-2016</t>
  </si>
  <si>
    <t>TABLE 18. Estimated linear trends in vaccination coverage by age 35 months, National Immunization Survey (NIS)-Child, United States, 2012-2016</t>
  </si>
  <si>
    <r>
      <rPr>
        <vertAlign val="superscript"/>
        <sz val="9"/>
        <rFont val="Calibri"/>
        <family val="2"/>
      </rPr>
      <t>†</t>
    </r>
    <r>
      <rPr>
        <sz val="9"/>
        <rFont val="Calibri"/>
        <family val="2"/>
      </rPr>
      <t xml:space="preserve"> Estimated vaccination coverage for the oldest monthly birth cohort included in the linear regression analysis (the estimated intercept for the fitted linear regression line).</t>
    </r>
  </si>
  <si>
    <r>
      <rPr>
        <b/>
        <sz val="9"/>
        <rFont val="Calibri"/>
        <family val="2"/>
        <scheme val="minor"/>
      </rPr>
      <t>Abbreviations</t>
    </r>
    <r>
      <rPr>
        <sz val="9"/>
        <rFont val="Calibri"/>
        <family val="2"/>
        <scheme val="minor"/>
      </rPr>
      <t>: CI = confidence interval; DTaP = diphtheria, tetanus toxoids, and acellular pertussis vaccine; HepA=hepatitis A vaccine HepB = hepatitis B vaccine; Hib = Haemophilus influenzae type b vaccine; MMR = measles, mumps, and rubella vaccine; PCV = pneumococcal conjugate vaccine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</si>
</sst>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11.7"/>
      <name val="Calibri"/>
      <family val="2"/>
    </font>
    <font>
      <vertAlign val="superscript"/>
      <sz val="9"/>
      <name val="Calibri"/>
      <family val="2"/>
    </font>
    <font>
      <sz val="9"/>
      <name val="Arial"/>
      <family val="2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1">
    <xf numFmtId="0" fontId="0" fillId="0" borderId="0" xfId="0"/>
    <xf numFmtId="0" fontId="3" fillId="0" borderId="0" xfId="2" applyFont="1"/>
    <xf numFmtId="0" fontId="2" fillId="0" borderId="0" xfId="2" applyFont="1"/>
    <xf numFmtId="2" fontId="3" fillId="0" borderId="0" xfId="2" applyNumberFormat="1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8" fillId="0" borderId="0" xfId="2" applyFont="1"/>
    <xf numFmtId="0" fontId="9" fillId="0" borderId="1" xfId="2" applyFont="1" applyBorder="1"/>
    <xf numFmtId="164" fontId="9" fillId="0" borderId="1" xfId="2" applyNumberFormat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8" fillId="0" borderId="0" xfId="1" applyFont="1" applyBorder="1" applyAlignment="1">
      <alignment horizontal="left" indent="1"/>
    </xf>
    <xf numFmtId="164" fontId="8" fillId="0" borderId="0" xfId="2" applyNumberFormat="1" applyFont="1" applyAlignment="1">
      <alignment horizontal="center"/>
    </xf>
    <xf numFmtId="2" fontId="8" fillId="0" borderId="0" xfId="2" applyNumberFormat="1" applyFont="1"/>
    <xf numFmtId="0" fontId="8" fillId="0" borderId="3" xfId="2" applyFont="1" applyBorder="1"/>
    <xf numFmtId="2" fontId="8" fillId="0" borderId="3" xfId="2" applyNumberFormat="1" applyFont="1" applyBorder="1"/>
    <xf numFmtId="0" fontId="9" fillId="0" borderId="0" xfId="1" applyFont="1" applyBorder="1"/>
    <xf numFmtId="0" fontId="9" fillId="0" borderId="4" xfId="1" applyFont="1" applyBorder="1"/>
    <xf numFmtId="0" fontId="12" fillId="0" borderId="0" xfId="2" applyFont="1" applyBorder="1"/>
    <xf numFmtId="0" fontId="9" fillId="0" borderId="5" xfId="1" applyFont="1" applyBorder="1" applyAlignment="1">
      <alignment horizontal="left"/>
    </xf>
    <xf numFmtId="0" fontId="8" fillId="0" borderId="5" xfId="2" applyFont="1" applyBorder="1"/>
    <xf numFmtId="2" fontId="8" fillId="0" borderId="5" xfId="2" applyNumberFormat="1" applyFont="1" applyBorder="1"/>
    <xf numFmtId="0" fontId="9" fillId="0" borderId="0" xfId="1" applyFont="1" applyBorder="1" applyAlignment="1"/>
    <xf numFmtId="2" fontId="9" fillId="0" borderId="0" xfId="2" applyNumberFormat="1" applyFont="1" applyBorder="1" applyAlignment="1">
      <alignment vertical="center"/>
    </xf>
    <xf numFmtId="2" fontId="9" fillId="0" borderId="6" xfId="2" applyNumberFormat="1" applyFont="1" applyBorder="1"/>
    <xf numFmtId="2" fontId="8" fillId="0" borderId="3" xfId="2" applyNumberFormat="1" applyFont="1" applyBorder="1" applyAlignment="1">
      <alignment horizontal="center"/>
    </xf>
    <xf numFmtId="0" fontId="13" fillId="0" borderId="0" xfId="2" applyFont="1" applyAlignment="1">
      <alignment wrapText="1"/>
    </xf>
    <xf numFmtId="0" fontId="13" fillId="0" borderId="0" xfId="2" applyFont="1"/>
    <xf numFmtId="2" fontId="8" fillId="0" borderId="0" xfId="2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2" fontId="8" fillId="0" borderId="5" xfId="2" applyNumberFormat="1" applyFont="1" applyBorder="1" applyAlignment="1">
      <alignment horizontal="center"/>
    </xf>
    <xf numFmtId="2" fontId="9" fillId="0" borderId="3" xfId="2" applyNumberFormat="1" applyFont="1" applyBorder="1" applyAlignment="1">
      <alignment horizontal="center"/>
    </xf>
    <xf numFmtId="164" fontId="8" fillId="0" borderId="0" xfId="2" applyNumberFormat="1" applyFont="1"/>
    <xf numFmtId="164" fontId="8" fillId="2" borderId="0" xfId="2" applyNumberFormat="1" applyFont="1" applyFill="1" applyAlignment="1">
      <alignment horizontal="center"/>
    </xf>
    <xf numFmtId="2" fontId="8" fillId="2" borderId="0" xfId="2" applyNumberFormat="1" applyFont="1" applyFill="1"/>
    <xf numFmtId="164" fontId="8" fillId="2" borderId="3" xfId="2" applyNumberFormat="1" applyFont="1" applyFill="1" applyBorder="1" applyAlignment="1">
      <alignment horizontal="center"/>
    </xf>
    <xf numFmtId="2" fontId="8" fillId="2" borderId="3" xfId="2" applyNumberFormat="1" applyFont="1" applyFill="1" applyBorder="1"/>
    <xf numFmtId="0" fontId="18" fillId="0" borderId="0" xfId="2" applyFont="1"/>
    <xf numFmtId="0" fontId="3" fillId="0" borderId="0" xfId="2" applyFont="1" applyAlignment="1">
      <alignment wrapText="1"/>
    </xf>
    <xf numFmtId="0" fontId="9" fillId="0" borderId="0" xfId="2" applyFont="1"/>
    <xf numFmtId="0" fontId="12" fillId="0" borderId="0" xfId="2" applyFont="1"/>
    <xf numFmtId="164" fontId="12" fillId="0" borderId="0" xfId="2" applyNumberFormat="1" applyFont="1" applyAlignment="1">
      <alignment horizontal="center"/>
    </xf>
    <xf numFmtId="2" fontId="12" fillId="0" borderId="0" xfId="2" applyNumberFormat="1" applyFont="1"/>
    <xf numFmtId="164" fontId="12" fillId="0" borderId="0" xfId="2" applyNumberFormat="1" applyFont="1"/>
    <xf numFmtId="0" fontId="11" fillId="0" borderId="0" xfId="2" applyFont="1"/>
    <xf numFmtId="0" fontId="10" fillId="0" borderId="0" xfId="1" applyFont="1" applyBorder="1" applyAlignment="1"/>
    <xf numFmtId="0" fontId="11" fillId="0" borderId="3" xfId="2" applyFont="1" applyBorder="1"/>
    <xf numFmtId="2" fontId="8" fillId="0" borderId="4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center" vertical="center" wrapText="1"/>
    </xf>
    <xf numFmtId="2" fontId="8" fillId="0" borderId="3" xfId="2" applyNumberFormat="1" applyFont="1" applyBorder="1" applyAlignment="1">
      <alignment horizontal="center"/>
    </xf>
    <xf numFmtId="164" fontId="8" fillId="0" borderId="2" xfId="2" applyNumberFormat="1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13" fillId="0" borderId="0" xfId="2" applyFont="1" applyAlignment="1">
      <alignment wrapText="1"/>
    </xf>
    <xf numFmtId="0" fontId="13" fillId="0" borderId="0" xfId="2" applyFont="1"/>
    <xf numFmtId="0" fontId="15" fillId="0" borderId="0" xfId="2" applyFont="1"/>
    <xf numFmtId="0" fontId="3" fillId="0" borderId="0" xfId="2" applyFont="1"/>
    <xf numFmtId="0" fontId="11" fillId="0" borderId="0" xfId="2" applyFont="1"/>
    <xf numFmtId="0" fontId="8" fillId="0" borderId="0" xfId="2" applyFont="1"/>
    <xf numFmtId="2" fontId="8" fillId="0" borderId="2" xfId="2" applyNumberFormat="1" applyFont="1" applyBorder="1" applyAlignment="1">
      <alignment horizontal="center"/>
    </xf>
    <xf numFmtId="0" fontId="18" fillId="0" borderId="0" xfId="2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7"/>
  <sheetViews>
    <sheetView zoomScaleNormal="100" workbookViewId="0">
      <selection activeCell="U18" sqref="U18"/>
    </sheetView>
  </sheetViews>
  <sheetFormatPr defaultColWidth="9.140625" defaultRowHeight="11.25" x14ac:dyDescent="0.2"/>
  <cols>
    <col min="1" max="1" width="1" style="1" customWidth="1"/>
    <col min="2" max="2" width="19.140625" style="1" bestFit="1" customWidth="1"/>
    <col min="3" max="3" width="16.85546875" style="1" customWidth="1"/>
    <col min="4" max="4" width="7.85546875" style="5" bestFit="1" customWidth="1"/>
    <col min="5" max="5" width="8.28515625" style="5" bestFit="1" customWidth="1"/>
    <col min="6" max="6" width="10" style="5" customWidth="1"/>
    <col min="7" max="7" width="1.42578125" style="3" customWidth="1"/>
    <col min="8" max="8" width="7.85546875" style="4" bestFit="1" customWidth="1"/>
    <col min="9" max="9" width="8.28515625" style="4" bestFit="1" customWidth="1"/>
    <col min="10" max="10" width="10" style="4" customWidth="1"/>
    <col min="11" max="11" width="1.5703125" style="3" customWidth="1"/>
    <col min="12" max="12" width="7.85546875" style="4" bestFit="1" customWidth="1"/>
    <col min="13" max="13" width="8.28515625" style="4" bestFit="1" customWidth="1"/>
    <col min="14" max="14" width="11.140625" style="4" customWidth="1"/>
    <col min="15" max="15" width="1.7109375" style="1" customWidth="1"/>
    <col min="16" max="16" width="7.85546875" style="4" bestFit="1" customWidth="1"/>
    <col min="17" max="17" width="8.28515625" style="4" bestFit="1" customWidth="1"/>
    <col min="18" max="18" width="9.5703125" style="4" customWidth="1"/>
    <col min="19" max="16384" width="9.140625" style="1"/>
  </cols>
  <sheetData>
    <row r="1" spans="1:19" ht="15" x14ac:dyDescent="0.25">
      <c r="A1" s="45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7"/>
    </row>
    <row r="3" spans="1:19" ht="24.75" customHeight="1" x14ac:dyDescent="0.2">
      <c r="B3" s="6"/>
      <c r="C3" s="6"/>
      <c r="D3" s="48" t="s">
        <v>24</v>
      </c>
      <c r="E3" s="48"/>
      <c r="F3" s="48"/>
      <c r="G3" s="22"/>
      <c r="H3" s="48" t="s">
        <v>25</v>
      </c>
      <c r="I3" s="48"/>
      <c r="J3" s="48"/>
      <c r="K3" s="22"/>
      <c r="L3" s="48" t="s">
        <v>26</v>
      </c>
      <c r="M3" s="48"/>
      <c r="N3" s="48"/>
      <c r="O3" s="22"/>
      <c r="P3" s="48" t="s">
        <v>27</v>
      </c>
      <c r="Q3" s="48"/>
      <c r="R3" s="48"/>
    </row>
    <row r="4" spans="1:19" s="2" customFormat="1" ht="13.5" thickBot="1" x14ac:dyDescent="0.25">
      <c r="B4" s="7" t="s">
        <v>8</v>
      </c>
      <c r="C4" s="7"/>
      <c r="D4" s="8" t="s">
        <v>5</v>
      </c>
      <c r="E4" s="8" t="s">
        <v>22</v>
      </c>
      <c r="F4" s="8" t="s">
        <v>23</v>
      </c>
      <c r="G4" s="23"/>
      <c r="H4" s="8" t="s">
        <v>5</v>
      </c>
      <c r="I4" s="8" t="s">
        <v>22</v>
      </c>
      <c r="J4" s="8" t="s">
        <v>23</v>
      </c>
      <c r="K4" s="23"/>
      <c r="L4" s="8" t="s">
        <v>5</v>
      </c>
      <c r="M4" s="8" t="s">
        <v>22</v>
      </c>
      <c r="N4" s="8" t="s">
        <v>23</v>
      </c>
      <c r="O4" s="23"/>
      <c r="P4" s="8" t="s">
        <v>5</v>
      </c>
      <c r="Q4" s="8" t="s">
        <v>22</v>
      </c>
      <c r="R4" s="8" t="s">
        <v>23</v>
      </c>
    </row>
    <row r="5" spans="1:19" ht="12.75" x14ac:dyDescent="0.2">
      <c r="B5" s="9" t="s">
        <v>9</v>
      </c>
      <c r="C5" s="51"/>
      <c r="D5" s="50"/>
      <c r="E5" s="50"/>
      <c r="F5" s="50"/>
      <c r="G5" s="49"/>
      <c r="H5" s="50"/>
      <c r="I5" s="50"/>
      <c r="J5" s="50"/>
      <c r="K5" s="49"/>
      <c r="L5" s="50"/>
      <c r="M5" s="50"/>
      <c r="N5" s="50"/>
      <c r="O5" s="49"/>
      <c r="P5" s="50"/>
      <c r="Q5" s="50"/>
      <c r="R5" s="50"/>
    </row>
    <row r="6" spans="1:19" ht="15" x14ac:dyDescent="0.2">
      <c r="B6" s="10" t="s">
        <v>0</v>
      </c>
      <c r="C6" s="6" t="s">
        <v>20</v>
      </c>
      <c r="D6" s="27">
        <v>94.324841053259064</v>
      </c>
      <c r="E6" s="27">
        <v>93.592535997307152</v>
      </c>
      <c r="F6" s="27">
        <v>95.057146109210976</v>
      </c>
      <c r="G6" s="12"/>
      <c r="H6" s="27">
        <v>93.806632393815363</v>
      </c>
      <c r="I6" s="27">
        <v>93.003369230385857</v>
      </c>
      <c r="J6" s="27">
        <v>94.609895557244869</v>
      </c>
      <c r="K6" s="12"/>
      <c r="L6" s="27">
        <v>94.463389332216536</v>
      </c>
      <c r="M6" s="27">
        <v>93.700759685799454</v>
      </c>
      <c r="N6" s="27">
        <v>95.226018978633618</v>
      </c>
      <c r="O6" s="12"/>
      <c r="P6" s="27">
        <v>94.417981567494678</v>
      </c>
      <c r="Q6" s="27">
        <v>93.216475939524287</v>
      </c>
      <c r="R6" s="27">
        <v>95.619487195465069</v>
      </c>
    </row>
    <row r="7" spans="1:19" ht="15" x14ac:dyDescent="0.2">
      <c r="B7" s="6"/>
      <c r="C7" s="6" t="s">
        <v>21</v>
      </c>
      <c r="D7" s="27">
        <f>-0.00769391384048782*12</f>
        <v>-9.2326966085853834E-2</v>
      </c>
      <c r="E7" s="27">
        <f>-0.0249264933025526*12</f>
        <v>-0.29911791963063117</v>
      </c>
      <c r="F7" s="27">
        <f>0.00953866562157699*12</f>
        <v>0.11446398745892387</v>
      </c>
      <c r="G7" s="12"/>
      <c r="H7" s="27">
        <f>0.0127498721757389*12</f>
        <v>0.1529984661088668</v>
      </c>
      <c r="I7" s="27">
        <f>-0.00866125948012506*12</f>
        <v>-0.10393511376150072</v>
      </c>
      <c r="J7" s="27">
        <f>0.0341610038316029*12</f>
        <v>0.40993204597923483</v>
      </c>
      <c r="K7" s="12"/>
      <c r="L7" s="27">
        <f>-0.0146422359315841*12</f>
        <v>-0.1757068311790092</v>
      </c>
      <c r="M7" s="27">
        <f>-0.0343047178380643*12</f>
        <v>-0.41165661405677156</v>
      </c>
      <c r="N7" s="27">
        <f>0.00502024597489608*12</f>
        <v>6.0242951698752961E-2</v>
      </c>
      <c r="O7" s="12"/>
      <c r="P7" s="27">
        <f>-0.0355425678026956*12</f>
        <v>-0.42651081363234722</v>
      </c>
      <c r="Q7" s="27">
        <f>-0.0902617224635537*12</f>
        <v>-1.0831406695626444</v>
      </c>
      <c r="R7" s="27">
        <f>0.0191765868581625*12</f>
        <v>0.23011904229794999</v>
      </c>
    </row>
    <row r="8" spans="1:19" ht="12.75" x14ac:dyDescent="0.2">
      <c r="B8" s="10" t="s">
        <v>6</v>
      </c>
      <c r="C8" s="6" t="s">
        <v>18</v>
      </c>
      <c r="D8" s="27">
        <v>69.059210418447222</v>
      </c>
      <c r="E8" s="27">
        <v>67.471648737962639</v>
      </c>
      <c r="F8" s="27">
        <v>70.646772098931805</v>
      </c>
      <c r="G8" s="12"/>
      <c r="H8" s="27">
        <v>68.451383434869697</v>
      </c>
      <c r="I8" s="27">
        <v>66.774118706340943</v>
      </c>
      <c r="J8" s="27">
        <v>70.128648163398452</v>
      </c>
      <c r="K8" s="12"/>
      <c r="L8" s="27">
        <v>69.467243159122773</v>
      </c>
      <c r="M8" s="27">
        <v>67.81369281299969</v>
      </c>
      <c r="N8" s="27">
        <v>71.120793505245857</v>
      </c>
      <c r="O8" s="12"/>
      <c r="P8" s="27">
        <v>68.322149094196703</v>
      </c>
      <c r="Q8" s="27">
        <v>65.289790352698347</v>
      </c>
      <c r="R8" s="27">
        <v>71.35450783569506</v>
      </c>
    </row>
    <row r="9" spans="1:19" ht="12.75" x14ac:dyDescent="0.2">
      <c r="B9" s="6"/>
      <c r="C9" s="6" t="s">
        <v>19</v>
      </c>
      <c r="D9" s="27">
        <f>0.0223882502995402*12</f>
        <v>0.26865900359448242</v>
      </c>
      <c r="E9" s="27">
        <f>-0.014545834159303*12</f>
        <v>-0.17455000991163599</v>
      </c>
      <c r="F9" s="27">
        <f>0.0593223347583834*12</f>
        <v>0.71186801710060088</v>
      </c>
      <c r="G9" s="12"/>
      <c r="H9" s="28">
        <f>0.0488938447893468*12</f>
        <v>0.58672613747216162</v>
      </c>
      <c r="I9" s="27">
        <f>0.00300898252169863*12</f>
        <v>3.6107790260383563E-2</v>
      </c>
      <c r="J9" s="27">
        <f>0.0947787070569949*12</f>
        <v>1.1373444846839389</v>
      </c>
      <c r="K9" s="12"/>
      <c r="L9" s="27">
        <f>0.00651770963588284*12</f>
        <v>7.8212515630594087E-2</v>
      </c>
      <c r="M9" s="27">
        <f>-0.0347732511828775*12</f>
        <v>-0.41727901419453006</v>
      </c>
      <c r="N9" s="27">
        <f>0.0478086704546432*12</f>
        <v>0.5737040454557184</v>
      </c>
      <c r="O9" s="12"/>
      <c r="P9" s="27">
        <f>0.0835609609032882*12</f>
        <v>1.0027315308394584</v>
      </c>
      <c r="Q9" s="27">
        <f>-0.0482511781035006*12</f>
        <v>-0.57901413724200723</v>
      </c>
      <c r="R9" s="27">
        <f>0.215373099910077*12</f>
        <v>2.5844771989209239</v>
      </c>
    </row>
    <row r="10" spans="1:19" ht="12.75" x14ac:dyDescent="0.2">
      <c r="B10" s="18" t="s">
        <v>10</v>
      </c>
      <c r="C10" s="19" t="s">
        <v>18</v>
      </c>
      <c r="D10" s="29">
        <v>92.068992836080525</v>
      </c>
      <c r="E10" s="29">
        <v>91.189846606030898</v>
      </c>
      <c r="F10" s="29">
        <v>92.948139066130153</v>
      </c>
      <c r="G10" s="20"/>
      <c r="H10" s="29">
        <v>91.601803869316313</v>
      </c>
      <c r="I10" s="29">
        <v>90.644365538230886</v>
      </c>
      <c r="J10" s="29">
        <v>92.559242200401741</v>
      </c>
      <c r="K10" s="20"/>
      <c r="L10" s="29">
        <v>92.180973324689376</v>
      </c>
      <c r="M10" s="29">
        <v>91.253400409499037</v>
      </c>
      <c r="N10" s="29">
        <v>93.108546239879715</v>
      </c>
      <c r="O10" s="20"/>
      <c r="P10" s="29">
        <v>92.038878292864581</v>
      </c>
      <c r="Q10" s="29">
        <v>90.604221378203547</v>
      </c>
      <c r="R10" s="29">
        <v>93.473535207525615</v>
      </c>
    </row>
    <row r="11" spans="1:19" ht="12.75" x14ac:dyDescent="0.2">
      <c r="B11" s="13"/>
      <c r="C11" s="13" t="s">
        <v>19</v>
      </c>
      <c r="D11" s="24">
        <f>-0.00483608403011724*12</f>
        <v>-5.8033008361406888E-2</v>
      </c>
      <c r="E11" s="24">
        <f>-0.0256903156403586*12</f>
        <v>-0.3082837876843032</v>
      </c>
      <c r="F11" s="24">
        <f>0.0160181475801242*12</f>
        <v>0.1922177709614904</v>
      </c>
      <c r="G11" s="14"/>
      <c r="H11" s="24">
        <f>0.0142427774313533*12</f>
        <v>0.17091332917623961</v>
      </c>
      <c r="I11" s="24">
        <f>-0.0114590086222856*12</f>
        <v>-0.1375081034674272</v>
      </c>
      <c r="J11" s="24">
        <f>0.0399445634849922*12</f>
        <v>0.47933476181990642</v>
      </c>
      <c r="K11" s="14"/>
      <c r="L11" s="24">
        <f>-0.0109916224015458*12</f>
        <v>-0.13189946881854958</v>
      </c>
      <c r="M11" s="24">
        <f>-0.0351742480910578*12</f>
        <v>-0.42209097709269361</v>
      </c>
      <c r="N11" s="24">
        <f>0.0131910032879662*12</f>
        <v>0.15829203945559439</v>
      </c>
      <c r="O11" s="14"/>
      <c r="P11" s="24">
        <f>-0.0224677228386937*12</f>
        <v>-0.26961267406432443</v>
      </c>
      <c r="Q11" s="24">
        <f>-0.0875714246410778*12</f>
        <v>-1.0508570956929335</v>
      </c>
      <c r="R11" s="24">
        <f>0.0426359789636904*12</f>
        <v>0.51163174756428487</v>
      </c>
    </row>
    <row r="12" spans="1:19" ht="12.75" x14ac:dyDescent="0.2">
      <c r="B12" s="15" t="s">
        <v>11</v>
      </c>
      <c r="C12" s="6" t="s">
        <v>18</v>
      </c>
      <c r="D12" s="27">
        <v>86.938797921024374</v>
      </c>
      <c r="E12" s="27">
        <v>85.88547338486282</v>
      </c>
      <c r="F12" s="27">
        <v>87.992122457185928</v>
      </c>
      <c r="G12" s="12"/>
      <c r="H12" s="27">
        <v>86.659099905771754</v>
      </c>
      <c r="I12" s="27">
        <v>85.468711622826575</v>
      </c>
      <c r="J12" s="27">
        <v>87.849488188716933</v>
      </c>
      <c r="K12" s="12"/>
      <c r="L12" s="27">
        <v>87.098580384756232</v>
      </c>
      <c r="M12" s="27">
        <v>85.984426757974802</v>
      </c>
      <c r="N12" s="27">
        <v>88.212734011537663</v>
      </c>
      <c r="O12" s="12"/>
      <c r="P12" s="27">
        <v>86.897421640157091</v>
      </c>
      <c r="Q12" s="27">
        <v>85.14268477753771</v>
      </c>
      <c r="R12" s="27">
        <v>88.652158502776473</v>
      </c>
    </row>
    <row r="13" spans="1:19" ht="12.75" x14ac:dyDescent="0.2">
      <c r="B13" s="13"/>
      <c r="C13" s="13" t="s">
        <v>19</v>
      </c>
      <c r="D13" s="24">
        <f>0.0208009979847067*12</f>
        <v>0.2496119758164804</v>
      </c>
      <c r="E13" s="24">
        <f>-0.00368499835509969*12</f>
        <v>-4.4219980261196279E-2</v>
      </c>
      <c r="F13" s="24">
        <f>0.0452869943245131*12</f>
        <v>0.54344393189415718</v>
      </c>
      <c r="G13" s="14"/>
      <c r="H13" s="24">
        <f>0.0311537438770614*12</f>
        <v>0.37384492652473678</v>
      </c>
      <c r="I13" s="24">
        <f>-0.00130499712115543*12</f>
        <v>-1.5659965453865162E-2</v>
      </c>
      <c r="J13" s="24">
        <f>0.0636124848752782*12</f>
        <v>0.76334981850333827</v>
      </c>
      <c r="K13" s="14"/>
      <c r="L13" s="24">
        <f>0.0172252338615117*12</f>
        <v>0.20670280633814037</v>
      </c>
      <c r="M13" s="24">
        <f>-0.0105060087344987*12</f>
        <v>-0.1260721048139844</v>
      </c>
      <c r="N13" s="24">
        <f>0.044956476457522*12</f>
        <v>0.53947771749026407</v>
      </c>
      <c r="O13" s="14"/>
      <c r="P13" s="24">
        <f>0.048769787235137*12</f>
        <v>0.58523744682164403</v>
      </c>
      <c r="Q13" s="24">
        <f>-0.0277393651398468*12</f>
        <v>-0.33287238167816158</v>
      </c>
      <c r="R13" s="24">
        <f>0.125278939610121*12</f>
        <v>1.5033472753214518</v>
      </c>
    </row>
    <row r="14" spans="1:19" ht="15" x14ac:dyDescent="0.2">
      <c r="B14" s="16" t="s">
        <v>12</v>
      </c>
      <c r="C14" s="52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</row>
    <row r="15" spans="1:19" ht="12.75" x14ac:dyDescent="0.2">
      <c r="B15" s="10" t="s">
        <v>1</v>
      </c>
      <c r="C15" s="6" t="s">
        <v>18</v>
      </c>
      <c r="D15" s="27">
        <v>92.876094770691722</v>
      </c>
      <c r="E15" s="27">
        <v>92.106395717667425</v>
      </c>
      <c r="F15" s="27">
        <v>93.645793823716019</v>
      </c>
      <c r="G15" s="12"/>
      <c r="H15" s="27">
        <v>92.42322537416554</v>
      </c>
      <c r="I15" s="27">
        <v>91.58496096933068</v>
      </c>
      <c r="J15" s="27">
        <v>93.261489779000399</v>
      </c>
      <c r="K15" s="12"/>
      <c r="L15" s="27">
        <v>93.000269618909655</v>
      </c>
      <c r="M15" s="27">
        <v>92.19406382613731</v>
      </c>
      <c r="N15" s="27">
        <v>93.806475411682001</v>
      </c>
      <c r="O15" s="12"/>
      <c r="P15" s="27">
        <v>93.503654927055706</v>
      </c>
      <c r="Q15" s="27">
        <v>92.163836381700179</v>
      </c>
      <c r="R15" s="27">
        <v>94.843473472411233</v>
      </c>
    </row>
    <row r="16" spans="1:19" ht="12.75" x14ac:dyDescent="0.2">
      <c r="B16" s="6"/>
      <c r="C16" s="6" t="s">
        <v>19</v>
      </c>
      <c r="D16" s="27">
        <f>0.00631357237518692*12</f>
        <v>7.5762868502243036E-2</v>
      </c>
      <c r="E16" s="27">
        <f>-0.0120057473887814*12</f>
        <v>-0.1440689686653768</v>
      </c>
      <c r="F16" s="27">
        <f>0.0246328921391553*12</f>
        <v>0.29559470566986357</v>
      </c>
      <c r="G16" s="12"/>
      <c r="H16" s="28">
        <f>0.0245809435847491*12</f>
        <v>0.2949713230169892</v>
      </c>
      <c r="I16" s="27">
        <f>0.00172450605797218*12</f>
        <v>2.0694072695666161E-2</v>
      </c>
      <c r="J16" s="27">
        <f>0.0474373811115261*12</f>
        <v>0.56924857333831325</v>
      </c>
      <c r="K16" s="12"/>
      <c r="L16" s="27">
        <f>-0.000153235072984224*12</f>
        <v>-1.838820875810688E-3</v>
      </c>
      <c r="M16" s="27">
        <f>-0.0211164977633078*12</f>
        <v>-0.25339797315969359</v>
      </c>
      <c r="N16" s="27">
        <f>0.0208100276173393*12</f>
        <v>0.24972033140807159</v>
      </c>
      <c r="O16" s="12"/>
      <c r="P16" s="27">
        <f>-0.0205633106191736*12</f>
        <v>-0.24675972743008318</v>
      </c>
      <c r="Q16" s="27">
        <f>-0.0816417478592099*12</f>
        <v>-0.97970097431051872</v>
      </c>
      <c r="R16" s="27">
        <f>0.0405151266208627*12</f>
        <v>0.48618151945035237</v>
      </c>
    </row>
    <row r="17" spans="2:20" ht="12.75" x14ac:dyDescent="0.2">
      <c r="B17" s="10" t="s">
        <v>2</v>
      </c>
      <c r="C17" s="6" t="s">
        <v>18</v>
      </c>
      <c r="D17" s="27">
        <v>72.480292338858803</v>
      </c>
      <c r="E17" s="27">
        <v>71.000789500953516</v>
      </c>
      <c r="F17" s="27">
        <v>73.959795176764089</v>
      </c>
      <c r="G17" s="12"/>
      <c r="H17" s="27">
        <v>71.837809384685997</v>
      </c>
      <c r="I17" s="27">
        <v>70.21191339308281</v>
      </c>
      <c r="J17" s="27">
        <v>73.463705376289184</v>
      </c>
      <c r="K17" s="12"/>
      <c r="L17" s="27">
        <v>72.709653050540965</v>
      </c>
      <c r="M17" s="27">
        <v>71.140579311046807</v>
      </c>
      <c r="N17" s="27">
        <v>74.278726790035122</v>
      </c>
      <c r="O17" s="12"/>
      <c r="P17" s="27">
        <v>73.96298714051845</v>
      </c>
      <c r="Q17" s="27">
        <v>71.440013154439654</v>
      </c>
      <c r="R17" s="27">
        <v>76.485961126597246</v>
      </c>
    </row>
    <row r="18" spans="2:20" ht="12.75" x14ac:dyDescent="0.2">
      <c r="B18" s="13"/>
      <c r="C18" s="13" t="s">
        <v>19</v>
      </c>
      <c r="D18" s="30">
        <f>0.039250419333695*12</f>
        <v>0.47100503200433996</v>
      </c>
      <c r="E18" s="24">
        <f>0.00505851254350708*12</f>
        <v>6.0702150522084955E-2</v>
      </c>
      <c r="F18" s="24">
        <f>0.073442326123883*12</f>
        <v>0.88130791348659598</v>
      </c>
      <c r="G18" s="14"/>
      <c r="H18" s="30">
        <f>0.0641324524088823*12</f>
        <v>0.76958942890658755</v>
      </c>
      <c r="I18" s="24">
        <f>0.0199897508714325*12</f>
        <v>0.23987701045719001</v>
      </c>
      <c r="J18" s="24">
        <f>0.108275153946332*12</f>
        <v>1.2993018473559839</v>
      </c>
      <c r="K18" s="14"/>
      <c r="L18" s="24">
        <f>0.0299449554903808*12</f>
        <v>0.35933946588456961</v>
      </c>
      <c r="M18" s="24">
        <f>-0.00892328376838261*12</f>
        <v>-0.10707940522059131</v>
      </c>
      <c r="N18" s="24">
        <f>0.0688131947491443*12</f>
        <v>0.82575833698973156</v>
      </c>
      <c r="O18" s="14"/>
      <c r="P18" s="24">
        <f>0.0277600873151188*12</f>
        <v>0.33312104778142559</v>
      </c>
      <c r="Q18" s="24">
        <f>-0.0824649184190535*12</f>
        <v>-0.98957902102864193</v>
      </c>
      <c r="R18" s="24">
        <f>0.137985093049291*12</f>
        <v>1.655821116591492</v>
      </c>
    </row>
    <row r="19" spans="2:20" ht="12.75" x14ac:dyDescent="0.2">
      <c r="B19" s="16" t="s">
        <v>13</v>
      </c>
      <c r="C19" s="52"/>
      <c r="D19" s="47"/>
      <c r="E19" s="47"/>
      <c r="F19" s="47"/>
      <c r="G19" s="46"/>
      <c r="H19" s="47"/>
      <c r="I19" s="47"/>
      <c r="J19" s="47"/>
      <c r="K19" s="46"/>
      <c r="L19" s="47"/>
      <c r="M19" s="47"/>
      <c r="N19" s="47"/>
      <c r="O19" s="46"/>
      <c r="P19" s="47"/>
      <c r="Q19" s="47"/>
      <c r="R19" s="47"/>
    </row>
    <row r="20" spans="2:20" ht="12.75" x14ac:dyDescent="0.2">
      <c r="B20" s="10" t="s">
        <v>14</v>
      </c>
      <c r="C20" s="6" t="s">
        <v>18</v>
      </c>
      <c r="D20" s="27">
        <v>72.995107119821796</v>
      </c>
      <c r="E20" s="27">
        <v>71.648694080251033</v>
      </c>
      <c r="F20" s="27">
        <v>74.341520159392559</v>
      </c>
      <c r="G20" s="12"/>
      <c r="H20" s="27">
        <v>72.456995886511393</v>
      </c>
      <c r="I20" s="27">
        <v>70.970435608237992</v>
      </c>
      <c r="J20" s="27">
        <v>73.943556164784795</v>
      </c>
      <c r="K20" s="12"/>
      <c r="L20" s="27">
        <v>72.86512613179535</v>
      </c>
      <c r="M20" s="27">
        <v>71.598177948388198</v>
      </c>
      <c r="N20" s="27">
        <v>74.132074315202502</v>
      </c>
      <c r="O20" s="12"/>
      <c r="P20" s="27">
        <v>74.400216343465019</v>
      </c>
      <c r="Q20" s="27">
        <v>72.133777677483593</v>
      </c>
      <c r="R20" s="27">
        <v>76.666655009446444</v>
      </c>
    </row>
    <row r="21" spans="2:20" ht="12.75" x14ac:dyDescent="0.2">
      <c r="B21" s="6"/>
      <c r="C21" s="6" t="s">
        <v>19</v>
      </c>
      <c r="D21" s="27">
        <v>-4.0750581856248233E-2</v>
      </c>
      <c r="E21" s="27">
        <v>-0.40444288224752167</v>
      </c>
      <c r="F21" s="27">
        <v>0.32294171853502518</v>
      </c>
      <c r="G21" s="12"/>
      <c r="H21" s="27">
        <v>0.21966278401608547</v>
      </c>
      <c r="I21" s="27">
        <v>-0.24842057376085891</v>
      </c>
      <c r="J21" s="27">
        <v>0.68774614179302984</v>
      </c>
      <c r="K21" s="12"/>
      <c r="L21" s="27">
        <v>-5.9998633946975993E-2</v>
      </c>
      <c r="M21" s="27">
        <v>-0.42557201496981611</v>
      </c>
      <c r="N21" s="27">
        <v>0.30557474707586418</v>
      </c>
      <c r="O21" s="12"/>
      <c r="P21" s="27">
        <v>-0.99014855335309693</v>
      </c>
      <c r="Q21" s="27">
        <v>-2.2174481459378832</v>
      </c>
      <c r="R21" s="27">
        <v>0.23715103923168912</v>
      </c>
    </row>
    <row r="22" spans="2:20" ht="12.75" x14ac:dyDescent="0.2">
      <c r="B22" s="10" t="s">
        <v>0</v>
      </c>
      <c r="C22" s="6" t="s">
        <v>18</v>
      </c>
      <c r="D22" s="27">
        <v>88.849824787226012</v>
      </c>
      <c r="E22" s="27">
        <v>87.668522225481311</v>
      </c>
      <c r="F22" s="27">
        <v>90.031127348970713</v>
      </c>
      <c r="G22" s="12"/>
      <c r="H22" s="27">
        <v>87.791136082758172</v>
      </c>
      <c r="I22" s="27">
        <v>86.525006694166606</v>
      </c>
      <c r="J22" s="27">
        <v>89.057265471349737</v>
      </c>
      <c r="K22" s="12"/>
      <c r="L22" s="27">
        <v>88.818342082812521</v>
      </c>
      <c r="M22" s="27">
        <v>87.725177013124551</v>
      </c>
      <c r="N22" s="27">
        <v>89.911507152500491</v>
      </c>
      <c r="O22" s="12"/>
      <c r="P22" s="27">
        <v>94.10152138093126</v>
      </c>
      <c r="Q22" s="27">
        <v>92.437332570268779</v>
      </c>
      <c r="R22" s="27">
        <v>95.76571019159374</v>
      </c>
    </row>
    <row r="23" spans="2:20" ht="12.75" x14ac:dyDescent="0.2">
      <c r="B23" s="13"/>
      <c r="C23" s="13" t="s">
        <v>19</v>
      </c>
      <c r="D23" s="30">
        <f>0.0467187973373306*12</f>
        <v>0.56062556804796726</v>
      </c>
      <c r="E23" s="24">
        <f>0.0198549769928792*12</f>
        <v>0.23825972391455039</v>
      </c>
      <c r="F23" s="24">
        <f>0.073582617681782*12</f>
        <v>0.88299141218138399</v>
      </c>
      <c r="G23" s="14"/>
      <c r="H23" s="30">
        <f>0.0839790299067577*12</f>
        <v>1.0077483588810923</v>
      </c>
      <c r="I23" s="24">
        <f>0.0514574071024279*12</f>
        <v>0.61748888522913481</v>
      </c>
      <c r="J23" s="24">
        <f>0.116500652711087*12</f>
        <v>1.3980078325330441</v>
      </c>
      <c r="K23" s="14"/>
      <c r="L23" s="30">
        <f>0.0335189418638317*12</f>
        <v>0.40222730236598037</v>
      </c>
      <c r="M23" s="24">
        <f>0.00649526903747243*12</f>
        <v>7.7943228449669166E-2</v>
      </c>
      <c r="N23" s="24">
        <f>0.060542614690191*12</f>
        <v>0.72651137628229201</v>
      </c>
      <c r="O23" s="14"/>
      <c r="P23" s="30">
        <f>-0.121695264867933*12</f>
        <v>-1.4603431784151959</v>
      </c>
      <c r="Q23" s="24">
        <f>-0.198894197882936*12</f>
        <v>-2.3867303745952322</v>
      </c>
      <c r="R23" s="24">
        <f>-0.0444963318529301*12</f>
        <v>-0.53395598223516116</v>
      </c>
      <c r="T23" s="4"/>
    </row>
    <row r="24" spans="2:20" ht="12.75" x14ac:dyDescent="0.2">
      <c r="B24" s="15" t="s">
        <v>15</v>
      </c>
      <c r="C24" s="6" t="s">
        <v>18</v>
      </c>
      <c r="D24" s="27">
        <v>85.820331104746174</v>
      </c>
      <c r="E24" s="27">
        <v>84.727852999856026</v>
      </c>
      <c r="F24" s="27">
        <v>86.912809209636322</v>
      </c>
      <c r="G24" s="12"/>
      <c r="H24" s="27">
        <v>85.665527970252768</v>
      </c>
      <c r="I24" s="27">
        <v>84.46811818208225</v>
      </c>
      <c r="J24" s="27">
        <v>86.862937758423286</v>
      </c>
      <c r="K24" s="12"/>
      <c r="L24" s="27">
        <v>86.036936469797041</v>
      </c>
      <c r="M24" s="27">
        <v>84.906639676935143</v>
      </c>
      <c r="N24" s="27">
        <v>87.167233262658939</v>
      </c>
      <c r="O24" s="12"/>
      <c r="P24" s="27">
        <v>85.50821122349619</v>
      </c>
      <c r="Q24" s="27">
        <v>83.496529621834696</v>
      </c>
      <c r="R24" s="27">
        <v>87.519892825157683</v>
      </c>
    </row>
    <row r="25" spans="2:20" ht="12.75" x14ac:dyDescent="0.2">
      <c r="B25" s="13"/>
      <c r="C25" s="13" t="s">
        <v>19</v>
      </c>
      <c r="D25" s="30">
        <f>0.0316706945688311*12</f>
        <v>0.38004833482597322</v>
      </c>
      <c r="E25" s="24">
        <f>0.00660213180443351*12</f>
        <v>7.9225581653202121E-2</v>
      </c>
      <c r="F25" s="24">
        <f>0.0567392573332287*12</f>
        <v>0.68087108799874441</v>
      </c>
      <c r="G25" s="14"/>
      <c r="H25" s="30">
        <f>0.0381074955404167*12</f>
        <v>0.45728994648500043</v>
      </c>
      <c r="I25" s="24">
        <f>0.00560243308393007*12</f>
        <v>6.7229197007160846E-2</v>
      </c>
      <c r="J25" s="24">
        <f>0.0706125579969033*12</f>
        <v>0.84735069596283963</v>
      </c>
      <c r="K25" s="14"/>
      <c r="L25" s="24">
        <f>0.0264542353296308*12</f>
        <v>0.31745082395556962</v>
      </c>
      <c r="M25" s="24">
        <f>-0.00131677317776924*12</f>
        <v>-1.580127813323088E-2</v>
      </c>
      <c r="N25" s="24">
        <f>0.0542252438370309*12</f>
        <v>0.65070292604437086</v>
      </c>
      <c r="O25" s="14"/>
      <c r="P25" s="30">
        <f>0.0904007779416622*12</f>
        <v>1.0848093352999464</v>
      </c>
      <c r="Q25" s="24">
        <f>0.00500871758090445*12</f>
        <v>6.01046109708534E-2</v>
      </c>
      <c r="R25" s="24">
        <f>0.17579283830242*12</f>
        <v>2.1095140596290403</v>
      </c>
    </row>
    <row r="26" spans="2:20" ht="12.75" x14ac:dyDescent="0.2">
      <c r="B26" s="16" t="s">
        <v>3</v>
      </c>
      <c r="C26" s="52"/>
      <c r="D26" s="47"/>
      <c r="E26" s="47"/>
      <c r="F26" s="47"/>
      <c r="G26" s="46"/>
      <c r="H26" s="47"/>
      <c r="I26" s="47"/>
      <c r="J26" s="47"/>
      <c r="K26" s="46"/>
      <c r="L26" s="47"/>
      <c r="M26" s="47"/>
      <c r="N26" s="47"/>
      <c r="O26" s="46"/>
      <c r="P26" s="47"/>
      <c r="Q26" s="47"/>
      <c r="R26" s="47"/>
    </row>
    <row r="27" spans="2:20" ht="12.75" x14ac:dyDescent="0.2">
      <c r="B27" s="10" t="s">
        <v>0</v>
      </c>
      <c r="C27" s="6" t="s">
        <v>18</v>
      </c>
      <c r="D27" s="27">
        <v>91.986697700746376</v>
      </c>
      <c r="E27" s="27">
        <v>91.189784066783176</v>
      </c>
      <c r="F27" s="27">
        <v>92.783611334709576</v>
      </c>
      <c r="G27" s="12"/>
      <c r="H27" s="27">
        <v>91.604631791186662</v>
      </c>
      <c r="I27" s="27">
        <v>90.729776323150247</v>
      </c>
      <c r="J27" s="27">
        <v>92.479487259223077</v>
      </c>
      <c r="K27" s="12"/>
      <c r="L27" s="27">
        <v>92.16732318411735</v>
      </c>
      <c r="M27" s="27">
        <v>91.315727992143351</v>
      </c>
      <c r="N27" s="27">
        <v>93.018918376091349</v>
      </c>
      <c r="O27" s="12"/>
      <c r="P27" s="27">
        <v>91.545906054831775</v>
      </c>
      <c r="Q27" s="27">
        <v>90.246719675662618</v>
      </c>
      <c r="R27" s="27">
        <v>92.845092434000932</v>
      </c>
    </row>
    <row r="28" spans="2:20" ht="12.75" x14ac:dyDescent="0.2">
      <c r="B28" s="10"/>
      <c r="C28" s="6" t="s">
        <v>19</v>
      </c>
      <c r="D28" s="27">
        <f>0.000451668674574721*12</f>
        <v>5.420024094896652E-3</v>
      </c>
      <c r="E28" s="27">
        <f>-0.0182441785654253*12</f>
        <v>-0.21893014278510359</v>
      </c>
      <c r="F28" s="27">
        <f>0.0191475159145748*12</f>
        <v>0.22977019097489762</v>
      </c>
      <c r="G28" s="12"/>
      <c r="H28" s="27">
        <f>0.0166641392276103*12</f>
        <v>0.1999696707313236</v>
      </c>
      <c r="I28" s="27">
        <f>-0.0067854480701786*12</f>
        <v>-8.142537684214321E-2</v>
      </c>
      <c r="J28" s="27">
        <f>0.0401137265253992*12</f>
        <v>0.48136471830479038</v>
      </c>
      <c r="K28" s="12"/>
      <c r="L28" s="27">
        <f>-0.00730737881966618*12</f>
        <v>-8.7688545835994169E-2</v>
      </c>
      <c r="M28" s="27">
        <f>-0.0292094941378069*12</f>
        <v>-0.35051392965368278</v>
      </c>
      <c r="N28" s="27">
        <f>0.0145947364984745*12</f>
        <v>0.17513683798169399</v>
      </c>
      <c r="O28" s="12"/>
      <c r="P28" s="27">
        <f>0.0132423249902982*12</f>
        <v>0.1589078998835784</v>
      </c>
      <c r="Q28" s="27">
        <f>-0.0443669486939327*12</f>
        <v>-0.53240338432719236</v>
      </c>
      <c r="R28" s="27">
        <f>0.070851598674529*12</f>
        <v>0.85021918409434805</v>
      </c>
    </row>
    <row r="29" spans="2:20" ht="12.75" x14ac:dyDescent="0.2">
      <c r="B29" s="10" t="s">
        <v>6</v>
      </c>
      <c r="C29" s="6" t="s">
        <v>18</v>
      </c>
      <c r="D29" s="27">
        <v>75.478196259912551</v>
      </c>
      <c r="E29" s="27">
        <v>73.959403200165227</v>
      </c>
      <c r="F29" s="27">
        <v>76.996989319659875</v>
      </c>
      <c r="G29" s="12"/>
      <c r="H29" s="27">
        <v>74.534612222944318</v>
      </c>
      <c r="I29" s="27">
        <v>72.941180812789085</v>
      </c>
      <c r="J29" s="27">
        <v>76.128043633099551</v>
      </c>
      <c r="K29" s="12"/>
      <c r="L29" s="27">
        <v>76.187524702290176</v>
      </c>
      <c r="M29" s="27">
        <v>74.68933283293795</v>
      </c>
      <c r="N29" s="27">
        <v>77.685716571642402</v>
      </c>
      <c r="O29" s="12"/>
      <c r="P29" s="27">
        <v>76.032366165565946</v>
      </c>
      <c r="Q29" s="27">
        <v>72.952957406680014</v>
      </c>
      <c r="R29" s="27">
        <v>79.111774924451879</v>
      </c>
    </row>
    <row r="30" spans="2:20" ht="12.75" x14ac:dyDescent="0.2">
      <c r="B30" s="13"/>
      <c r="C30" s="13" t="s">
        <v>19</v>
      </c>
      <c r="D30" s="30">
        <f>0.0574018315848341*12</f>
        <v>0.68882197901800923</v>
      </c>
      <c r="E30" s="24">
        <f>0.0226403743431345*12</f>
        <v>0.27168449211761403</v>
      </c>
      <c r="F30" s="24">
        <f>0.0921632888265337*12</f>
        <v>1.1059594659184044</v>
      </c>
      <c r="G30" s="14"/>
      <c r="H30" s="30">
        <f>0.0959363508181874*12</f>
        <v>1.1512362098182487</v>
      </c>
      <c r="I30" s="24">
        <f>0.0535420490869136*12</f>
        <v>0.64250458904296326</v>
      </c>
      <c r="J30" s="24">
        <f>0.138330652549461*12</f>
        <v>1.6599678305935321</v>
      </c>
      <c r="K30" s="14"/>
      <c r="L30" s="24">
        <f>0.0293054290799468*12</f>
        <v>0.35166514895936163</v>
      </c>
      <c r="M30" s="24">
        <f>-0.00785036868948586*12</f>
        <v>-9.4204424273830328E-2</v>
      </c>
      <c r="N30" s="24">
        <f>0.0664612268493795*12</f>
        <v>0.79753472219255395</v>
      </c>
      <c r="O30" s="14"/>
      <c r="P30" s="24">
        <f>0.119039588890377*12</f>
        <v>1.4284750666845238</v>
      </c>
      <c r="Q30" s="24">
        <f>-0.0130429397680161*12</f>
        <v>-0.15651527721619321</v>
      </c>
      <c r="R30" s="24">
        <f>0.251122117548771*12</f>
        <v>3.0134654105852521</v>
      </c>
    </row>
    <row r="31" spans="2:20" ht="12.75" x14ac:dyDescent="0.2">
      <c r="B31" s="16" t="s">
        <v>16</v>
      </c>
      <c r="C31" s="52"/>
      <c r="D31" s="47"/>
      <c r="E31" s="47"/>
      <c r="F31" s="47"/>
      <c r="G31" s="46"/>
      <c r="H31" s="47"/>
      <c r="I31" s="47"/>
      <c r="J31" s="47"/>
      <c r="K31" s="46"/>
      <c r="L31" s="47"/>
      <c r="M31" s="47"/>
      <c r="N31" s="47"/>
      <c r="O31" s="46"/>
      <c r="P31" s="47"/>
      <c r="Q31" s="47"/>
      <c r="R31" s="47"/>
    </row>
    <row r="32" spans="2:20" ht="12.75" x14ac:dyDescent="0.2">
      <c r="B32" s="10" t="s">
        <v>35</v>
      </c>
      <c r="C32" s="6" t="s">
        <v>18</v>
      </c>
      <c r="D32" s="27">
        <v>71.326930060006958</v>
      </c>
      <c r="E32" s="27">
        <v>69.911127041508379</v>
      </c>
      <c r="F32" s="27">
        <v>72.742733078505537</v>
      </c>
      <c r="G32" s="12"/>
      <c r="H32" s="27">
        <v>70.608438880159909</v>
      </c>
      <c r="I32" s="27">
        <v>69.07852541454784</v>
      </c>
      <c r="J32" s="27">
        <v>72.138352345771978</v>
      </c>
      <c r="K32" s="12"/>
      <c r="L32" s="27">
        <v>71.510887738687842</v>
      </c>
      <c r="M32" s="27">
        <v>69.972314289363013</v>
      </c>
      <c r="N32" s="27">
        <v>73.049461188012671</v>
      </c>
      <c r="O32" s="12"/>
      <c r="P32" s="27">
        <v>76.285245926696604</v>
      </c>
      <c r="Q32" s="27">
        <v>73.958460717584018</v>
      </c>
      <c r="R32" s="27">
        <v>78.61203113580919</v>
      </c>
    </row>
    <row r="33" spans="2:18" ht="12.75" x14ac:dyDescent="0.2">
      <c r="B33" s="6"/>
      <c r="C33" s="6" t="s">
        <v>19</v>
      </c>
      <c r="D33" s="28">
        <f>0.146480945631951*12</f>
        <v>1.7577713475834118</v>
      </c>
      <c r="E33" s="27">
        <f>0.114787119018738*12</f>
        <v>1.377445428224856</v>
      </c>
      <c r="F33" s="27">
        <f>0.178174772245165*12</f>
        <v>2.1380972669419802</v>
      </c>
      <c r="G33" s="12"/>
      <c r="H33" s="28">
        <f>0.171975141846766*12</f>
        <v>2.0637017021611919</v>
      </c>
      <c r="I33" s="27">
        <f>0.131575315812818*12</f>
        <v>1.5789037897538161</v>
      </c>
      <c r="J33" s="27">
        <f>0.212374967880714*12</f>
        <v>2.5484996145685681</v>
      </c>
      <c r="K33" s="12"/>
      <c r="L33" s="28">
        <f>0.142888108522498*12</f>
        <v>1.714657302269976</v>
      </c>
      <c r="M33" s="27">
        <f>0.106270912542849*12</f>
        <v>1.275250950514188</v>
      </c>
      <c r="N33" s="27">
        <f>0.179505304502147*12</f>
        <v>2.1540636540257641</v>
      </c>
      <c r="O33" s="12"/>
      <c r="P33" s="28">
        <f>0.143560085624051*12</f>
        <v>1.7227210274886122</v>
      </c>
      <c r="Q33" s="27">
        <f>0.04439560867153*12</f>
        <v>0.53274730405836002</v>
      </c>
      <c r="R33" s="27">
        <f>0.242724562576571*12</f>
        <v>2.9126947509188517</v>
      </c>
    </row>
    <row r="34" spans="2:18" ht="12.75" x14ac:dyDescent="0.2">
      <c r="B34" s="10" t="s">
        <v>4</v>
      </c>
      <c r="C34" s="6" t="s">
        <v>18</v>
      </c>
      <c r="D34" s="27">
        <v>16.760029805266523</v>
      </c>
      <c r="E34" s="27">
        <v>15.490211971856247</v>
      </c>
      <c r="F34" s="27">
        <v>18.029847638676799</v>
      </c>
      <c r="G34" s="12"/>
      <c r="H34" s="27">
        <v>16.76678083204952</v>
      </c>
      <c r="I34" s="27">
        <v>15.345371138705353</v>
      </c>
      <c r="J34" s="27">
        <v>18.188190525393686</v>
      </c>
      <c r="K34" s="12"/>
      <c r="L34" s="27">
        <v>16.929202459797391</v>
      </c>
      <c r="M34" s="27">
        <v>15.616167985362853</v>
      </c>
      <c r="N34" s="27">
        <v>18.242236934231929</v>
      </c>
      <c r="O34" s="12"/>
      <c r="P34" s="27">
        <v>20.209500596394577</v>
      </c>
      <c r="Q34" s="27">
        <v>18.019699440252698</v>
      </c>
      <c r="R34" s="27">
        <v>22.399301752536456</v>
      </c>
    </row>
    <row r="35" spans="2:18" ht="12.75" x14ac:dyDescent="0.2">
      <c r="B35" s="13"/>
      <c r="C35" s="13" t="s">
        <v>19</v>
      </c>
      <c r="D35" s="30">
        <f>0.0914539192169921*12</f>
        <v>1.0974470306039052</v>
      </c>
      <c r="E35" s="24">
        <f>0.0609088604446028*12</f>
        <v>0.73090632533523359</v>
      </c>
      <c r="F35" s="24">
        <f>0.121998977989381*12</f>
        <v>1.4639877358725721</v>
      </c>
      <c r="G35" s="14"/>
      <c r="H35" s="30">
        <f>0.0921450389365869*12</f>
        <v>1.105740467239043</v>
      </c>
      <c r="I35" s="24">
        <f>0.0522070524684407*12</f>
        <v>0.62648462962128837</v>
      </c>
      <c r="J35" s="24">
        <f>0.132083025404733*12</f>
        <v>1.5849963048567959</v>
      </c>
      <c r="K35" s="14"/>
      <c r="L35" s="30">
        <f>0.0815867976004785*12</f>
        <v>0.97904157120574209</v>
      </c>
      <c r="M35" s="24">
        <f>0.047758214669183*12</f>
        <v>0.57309857603019598</v>
      </c>
      <c r="N35" s="24">
        <f>0.115415380531774*12</f>
        <v>1.3849845663812879</v>
      </c>
      <c r="O35" s="14"/>
      <c r="P35" s="24">
        <f>0.0981803288025599*12</f>
        <v>1.1781639456307189</v>
      </c>
      <c r="Q35" s="24">
        <f>-0.00163302408807702*12</f>
        <v>-1.9596289056924239E-2</v>
      </c>
      <c r="R35" s="24">
        <f>0.197993681693197*12</f>
        <v>2.3759241803183642</v>
      </c>
    </row>
    <row r="36" spans="2:18" ht="15" x14ac:dyDescent="0.2">
      <c r="B36" s="15" t="s">
        <v>7</v>
      </c>
      <c r="C36" s="6" t="s">
        <v>18</v>
      </c>
      <c r="D36" s="27">
        <v>68.050880101405909</v>
      </c>
      <c r="E36" s="27">
        <v>66.516434460930355</v>
      </c>
      <c r="F36" s="27">
        <v>69.585325741881462</v>
      </c>
      <c r="G36" s="12"/>
      <c r="H36" s="27">
        <v>67.899291959216441</v>
      </c>
      <c r="I36" s="27">
        <v>66.25505228059626</v>
      </c>
      <c r="J36" s="27">
        <v>69.543531637836622</v>
      </c>
      <c r="K36" s="12"/>
      <c r="L36" s="27">
        <v>68.019960474164307</v>
      </c>
      <c r="M36" s="27">
        <v>66.43892999977696</v>
      </c>
      <c r="N36" s="27">
        <v>69.600990948551654</v>
      </c>
      <c r="O36" s="12"/>
      <c r="P36" s="27">
        <v>71.806432029847784</v>
      </c>
      <c r="Q36" s="27">
        <v>69.002013067598895</v>
      </c>
      <c r="R36" s="27">
        <v>74.610850992096672</v>
      </c>
    </row>
    <row r="37" spans="2:18" ht="12.75" x14ac:dyDescent="0.2">
      <c r="B37" s="13"/>
      <c r="C37" s="13" t="s">
        <v>19</v>
      </c>
      <c r="D37" s="30">
        <f>0.120764744490794*12</f>
        <v>1.449176933889528</v>
      </c>
      <c r="E37" s="24">
        <f>0.0857722162587316*12</f>
        <v>1.0292665951047792</v>
      </c>
      <c r="F37" s="24">
        <f>0.155757272722856*12</f>
        <v>1.869087272674272</v>
      </c>
      <c r="G37" s="14"/>
      <c r="H37" s="30">
        <f>0.127336809827791*12</f>
        <v>1.528041717933492</v>
      </c>
      <c r="I37" s="24">
        <f>0.0828736030230334*12</f>
        <v>0.99448323627640078</v>
      </c>
      <c r="J37" s="24">
        <f>0.171800016632549*12</f>
        <v>2.0616001995905879</v>
      </c>
      <c r="K37" s="14"/>
      <c r="L37" s="30">
        <f>0.124195940059724*12</f>
        <v>1.4903512807166879</v>
      </c>
      <c r="M37" s="24">
        <f>0.0857667666097553*12</f>
        <v>1.0292011993170636</v>
      </c>
      <c r="N37" s="24">
        <f>0.162625113509694*12</f>
        <v>1.951501362116328</v>
      </c>
      <c r="O37" s="14"/>
      <c r="P37" s="30">
        <f>0.134871142542785*12</f>
        <v>1.6184537105134202</v>
      </c>
      <c r="Q37" s="24">
        <f>0.0133431009513318*12</f>
        <v>0.16011721141598159</v>
      </c>
      <c r="R37" s="24">
        <f>0.256399184134239*12</f>
        <v>3.0767902096108681</v>
      </c>
    </row>
    <row r="38" spans="2:18" ht="12.75" x14ac:dyDescent="0.2">
      <c r="B38" s="16"/>
      <c r="C38" s="52"/>
      <c r="D38" s="47"/>
      <c r="E38" s="47"/>
      <c r="F38" s="47"/>
      <c r="G38" s="46"/>
      <c r="H38" s="47"/>
      <c r="I38" s="47"/>
      <c r="J38" s="47"/>
      <c r="K38" s="46"/>
      <c r="L38" s="47"/>
      <c r="M38" s="47"/>
      <c r="N38" s="47"/>
      <c r="O38" s="46"/>
      <c r="P38" s="47"/>
      <c r="Q38" s="47"/>
      <c r="R38" s="47"/>
    </row>
    <row r="39" spans="2:18" ht="15" x14ac:dyDescent="0.2">
      <c r="B39" s="21" t="s">
        <v>17</v>
      </c>
      <c r="C39" s="6" t="s">
        <v>18</v>
      </c>
      <c r="D39" s="27">
        <v>54.962512068401502</v>
      </c>
      <c r="E39" s="27">
        <v>53.210892015794641</v>
      </c>
      <c r="F39" s="27">
        <v>56.714132121008362</v>
      </c>
      <c r="G39" s="12"/>
      <c r="H39" s="27">
        <v>54.010297479816906</v>
      </c>
      <c r="I39" s="27">
        <v>52.089035152674136</v>
      </c>
      <c r="J39" s="27">
        <v>55.931559806959676</v>
      </c>
      <c r="K39" s="12"/>
      <c r="L39" s="27">
        <v>55.366093336405889</v>
      </c>
      <c r="M39" s="27">
        <v>53.553002033769189</v>
      </c>
      <c r="N39" s="27">
        <v>57.179184639042589</v>
      </c>
      <c r="O39" s="12"/>
      <c r="P39" s="27">
        <v>57.416011005384881</v>
      </c>
      <c r="Q39" s="27">
        <v>54.34888332821609</v>
      </c>
      <c r="R39" s="27">
        <v>60.483138682553673</v>
      </c>
    </row>
    <row r="40" spans="2:18" ht="12.75" x14ac:dyDescent="0.2">
      <c r="B40" s="13"/>
      <c r="C40" s="13" t="s">
        <v>19</v>
      </c>
      <c r="D40" s="30">
        <f>0.0832613002693916*12</f>
        <v>0.99913560323269923</v>
      </c>
      <c r="E40" s="24">
        <f>0.0427743844081121*12</f>
        <v>0.51329261289734518</v>
      </c>
      <c r="F40" s="24">
        <f>0.123748216130671*12</f>
        <v>1.484978593568052</v>
      </c>
      <c r="G40" s="14"/>
      <c r="H40" s="30">
        <f>0.121879204425563*12</f>
        <v>1.4625504531067561</v>
      </c>
      <c r="I40" s="24">
        <f>0.0694804992868226*12</f>
        <v>0.83376599144187113</v>
      </c>
      <c r="J40" s="24">
        <f>0.174277909564303*12</f>
        <v>2.091334914771636</v>
      </c>
      <c r="K40" s="14"/>
      <c r="L40" s="30">
        <f>0.0664298380614966*12</f>
        <v>0.79715805673795925</v>
      </c>
      <c r="M40" s="24">
        <f>0.0216296231073315*12</f>
        <v>0.25955547728797801</v>
      </c>
      <c r="N40" s="24">
        <f>0.111230053015662*12</f>
        <v>1.3347606361879438</v>
      </c>
      <c r="O40" s="14"/>
      <c r="P40" s="24">
        <f>0.0962026104176787*12</f>
        <v>1.1544313250121445</v>
      </c>
      <c r="Q40" s="24">
        <f>-0.0379392859451309*12</f>
        <v>-0.45527143134157078</v>
      </c>
      <c r="R40" s="24">
        <f>0.230344506780488*12</f>
        <v>2.7641340813658561</v>
      </c>
    </row>
    <row r="42" spans="2:18" ht="24" customHeight="1" x14ac:dyDescent="0.2">
      <c r="B42" s="53" t="s">
        <v>55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2:18" ht="12" x14ac:dyDescent="0.2">
      <c r="B43" s="54" t="s">
        <v>28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</row>
    <row r="44" spans="2:18" ht="12" x14ac:dyDescent="0.2">
      <c r="B44" s="54" t="s">
        <v>29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2:18" ht="14.25" x14ac:dyDescent="0.2">
      <c r="B45" s="55" t="s">
        <v>54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</row>
    <row r="46" spans="2:18" ht="14.25" x14ac:dyDescent="0.2">
      <c r="B46" s="55" t="s">
        <v>30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2:18" ht="15.75" x14ac:dyDescent="0.25">
      <c r="B47" s="54" t="s">
        <v>31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2:18" ht="12" x14ac:dyDescent="0.2">
      <c r="B48" s="54" t="s">
        <v>32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2:18" ht="15.75" x14ac:dyDescent="0.25">
      <c r="B49" s="54" t="s">
        <v>33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</row>
    <row r="50" spans="2:18" ht="24" customHeight="1" x14ac:dyDescent="0.2">
      <c r="B50" s="53" t="s">
        <v>34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2:18" ht="12" x14ac:dyDescent="0.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2:18" x14ac:dyDescent="0.2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</row>
    <row r="53" spans="2:18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2:18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</row>
    <row r="55" spans="2:18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</row>
    <row r="56" spans="2:18" x14ac:dyDescent="0.2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</row>
    <row r="57" spans="2:18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</row>
  </sheetData>
  <mergeCells count="45">
    <mergeCell ref="B57:R57"/>
    <mergeCell ref="B52:R52"/>
    <mergeCell ref="B53:R53"/>
    <mergeCell ref="B54:R54"/>
    <mergeCell ref="B55:R55"/>
    <mergeCell ref="B56:R56"/>
    <mergeCell ref="B47:R47"/>
    <mergeCell ref="B48:R48"/>
    <mergeCell ref="B49:R49"/>
    <mergeCell ref="B50:R50"/>
    <mergeCell ref="B51:R51"/>
    <mergeCell ref="B42:R42"/>
    <mergeCell ref="B43:R43"/>
    <mergeCell ref="B44:R44"/>
    <mergeCell ref="B45:R45"/>
    <mergeCell ref="B46:R46"/>
    <mergeCell ref="C19:F19"/>
    <mergeCell ref="C26:F26"/>
    <mergeCell ref="C31:F31"/>
    <mergeCell ref="C38:F38"/>
    <mergeCell ref="G31:J31"/>
    <mergeCell ref="G38:J38"/>
    <mergeCell ref="G19:J19"/>
    <mergeCell ref="G26:J26"/>
    <mergeCell ref="C5:F5"/>
    <mergeCell ref="C14:F14"/>
    <mergeCell ref="G5:J5"/>
    <mergeCell ref="G14:J14"/>
    <mergeCell ref="H3:J3"/>
    <mergeCell ref="A1:R1"/>
    <mergeCell ref="K38:N38"/>
    <mergeCell ref="P3:R3"/>
    <mergeCell ref="O5:R5"/>
    <mergeCell ref="O14:R14"/>
    <mergeCell ref="O19:R19"/>
    <mergeCell ref="O26:R26"/>
    <mergeCell ref="O31:R31"/>
    <mergeCell ref="O38:R38"/>
    <mergeCell ref="K19:N19"/>
    <mergeCell ref="K26:N26"/>
    <mergeCell ref="K31:N31"/>
    <mergeCell ref="D3:F3"/>
    <mergeCell ref="L3:N3"/>
    <mergeCell ref="K5:N5"/>
    <mergeCell ref="K14:N14"/>
  </mergeCells>
  <pageMargins left="0.75" right="0.75" top="1" bottom="1" header="0.5" footer="0.5"/>
  <pageSetup paperSize="5" fitToWidth="0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8"/>
  <sheetViews>
    <sheetView topLeftCell="A28" zoomScaleNormal="100" workbookViewId="0">
      <selection activeCell="B42" sqref="B42:R42"/>
    </sheetView>
  </sheetViews>
  <sheetFormatPr defaultColWidth="9.140625" defaultRowHeight="11.25" x14ac:dyDescent="0.2"/>
  <cols>
    <col min="1" max="1" width="1" style="1" customWidth="1"/>
    <col min="2" max="2" width="19.140625" style="1" bestFit="1" customWidth="1"/>
    <col min="3" max="3" width="20.5703125" style="1" customWidth="1"/>
    <col min="4" max="4" width="13" style="5" customWidth="1"/>
    <col min="5" max="5" width="11.140625" style="5" customWidth="1"/>
    <col min="6" max="6" width="11.7109375" style="5" customWidth="1"/>
    <col min="7" max="7" width="2.28515625" style="3" customWidth="1"/>
    <col min="8" max="8" width="10.7109375" style="4" customWidth="1"/>
    <col min="9" max="9" width="10.5703125" style="4" customWidth="1"/>
    <col min="10" max="10" width="12.5703125" style="4" customWidth="1"/>
    <col min="11" max="11" width="2.42578125" style="3" customWidth="1"/>
    <col min="12" max="12" width="10.140625" style="4" customWidth="1"/>
    <col min="13" max="13" width="10.7109375" style="4" customWidth="1"/>
    <col min="14" max="14" width="12.42578125" style="4" customWidth="1"/>
    <col min="15" max="15" width="2.28515625" style="1" customWidth="1"/>
    <col min="16" max="16" width="10.140625" style="4" customWidth="1"/>
    <col min="17" max="17" width="10.42578125" style="4" customWidth="1"/>
    <col min="18" max="18" width="10.85546875" style="4" customWidth="1"/>
    <col min="19" max="16384" width="9.140625" style="1"/>
  </cols>
  <sheetData>
    <row r="1" spans="1:18" ht="12.75" customHeight="1" x14ac:dyDescent="0.25">
      <c r="A1" s="57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12.75" x14ac:dyDescent="0.2">
      <c r="B2" s="6"/>
      <c r="C2" s="6"/>
      <c r="D2" s="11"/>
      <c r="E2" s="11"/>
      <c r="F2" s="11"/>
      <c r="G2" s="12"/>
      <c r="H2" s="31"/>
      <c r="I2" s="31"/>
      <c r="J2" s="31"/>
      <c r="K2" s="12"/>
      <c r="L2" s="31"/>
      <c r="M2" s="31"/>
      <c r="N2" s="31"/>
      <c r="O2" s="6"/>
      <c r="P2" s="31"/>
      <c r="Q2" s="31"/>
      <c r="R2" s="31"/>
    </row>
    <row r="3" spans="1:18" ht="24.75" customHeight="1" x14ac:dyDescent="0.2">
      <c r="B3" s="6"/>
      <c r="C3" s="6"/>
      <c r="D3" s="48" t="s">
        <v>36</v>
      </c>
      <c r="E3" s="48"/>
      <c r="F3" s="48"/>
      <c r="G3" s="22"/>
      <c r="H3" s="48" t="s">
        <v>37</v>
      </c>
      <c r="I3" s="48"/>
      <c r="J3" s="48"/>
      <c r="K3" s="22"/>
      <c r="L3" s="48" t="s">
        <v>38</v>
      </c>
      <c r="M3" s="48"/>
      <c r="N3" s="48"/>
      <c r="O3" s="22"/>
      <c r="P3" s="48" t="s">
        <v>39</v>
      </c>
      <c r="Q3" s="48"/>
      <c r="R3" s="48"/>
    </row>
    <row r="4" spans="1:18" s="2" customFormat="1" ht="13.5" thickBot="1" x14ac:dyDescent="0.25">
      <c r="B4" s="7" t="s">
        <v>8</v>
      </c>
      <c r="C4" s="7"/>
      <c r="D4" s="8" t="s">
        <v>5</v>
      </c>
      <c r="E4" s="8" t="s">
        <v>22</v>
      </c>
      <c r="F4" s="8" t="s">
        <v>23</v>
      </c>
      <c r="G4" s="23"/>
      <c r="H4" s="8" t="s">
        <v>5</v>
      </c>
      <c r="I4" s="8" t="s">
        <v>22</v>
      </c>
      <c r="J4" s="8" t="s">
        <v>23</v>
      </c>
      <c r="K4" s="23"/>
      <c r="L4" s="8" t="s">
        <v>5</v>
      </c>
      <c r="M4" s="8" t="s">
        <v>22</v>
      </c>
      <c r="N4" s="8" t="s">
        <v>23</v>
      </c>
      <c r="O4" s="23"/>
      <c r="P4" s="8" t="s">
        <v>5</v>
      </c>
      <c r="Q4" s="8" t="s">
        <v>22</v>
      </c>
      <c r="R4" s="8" t="s">
        <v>23</v>
      </c>
    </row>
    <row r="5" spans="1:18" ht="12.75" x14ac:dyDescent="0.2">
      <c r="B5" s="9" t="s">
        <v>9</v>
      </c>
      <c r="C5" s="51"/>
      <c r="D5" s="50"/>
      <c r="E5" s="50"/>
      <c r="F5" s="50"/>
      <c r="G5" s="59"/>
      <c r="H5" s="50"/>
      <c r="I5" s="50"/>
      <c r="J5" s="50"/>
      <c r="K5" s="59"/>
      <c r="L5" s="50"/>
      <c r="M5" s="50"/>
      <c r="N5" s="50"/>
      <c r="O5" s="59"/>
      <c r="P5" s="50"/>
      <c r="Q5" s="50"/>
      <c r="R5" s="50"/>
    </row>
    <row r="6" spans="1:18" ht="15" x14ac:dyDescent="0.2">
      <c r="B6" s="10" t="s">
        <v>0</v>
      </c>
      <c r="C6" s="6" t="s">
        <v>20</v>
      </c>
      <c r="D6" s="27">
        <v>96.238879819065744</v>
      </c>
      <c r="E6" s="27">
        <v>95.546492127002594</v>
      </c>
      <c r="F6" s="27">
        <v>96.931267511128894</v>
      </c>
      <c r="G6" s="12"/>
      <c r="H6" s="27">
        <v>96.021710742521748</v>
      </c>
      <c r="I6" s="27">
        <v>95.216994918841976</v>
      </c>
      <c r="J6" s="27">
        <v>96.826426566201519</v>
      </c>
      <c r="K6" s="12"/>
      <c r="L6" s="27">
        <v>96.33965014006921</v>
      </c>
      <c r="M6" s="27">
        <v>95.606522734449456</v>
      </c>
      <c r="N6" s="27">
        <v>97.072777545688965</v>
      </c>
      <c r="O6" s="12"/>
      <c r="P6" s="27">
        <v>95.351955857307871</v>
      </c>
      <c r="Q6" s="27">
        <v>94.249097624391865</v>
      </c>
      <c r="R6" s="27">
        <v>96.454814090223877</v>
      </c>
    </row>
    <row r="7" spans="1:18" ht="15" x14ac:dyDescent="0.2">
      <c r="B7" s="6"/>
      <c r="C7" s="6" t="s">
        <v>21</v>
      </c>
      <c r="D7" s="28">
        <f>-0.0231458766284994*12</f>
        <v>-0.27775051954199281</v>
      </c>
      <c r="E7" s="27">
        <f>-0.0404657747076825*12</f>
        <v>-0.48558929649218996</v>
      </c>
      <c r="F7" s="27">
        <f>-0.00582597854931634*12</f>
        <v>-6.9911742591796083E-2</v>
      </c>
      <c r="G7" s="12"/>
      <c r="H7" s="27">
        <f>-0.0134437953048139*12</f>
        <v>-0.1613255436577668</v>
      </c>
      <c r="I7" s="27">
        <f>-0.0367102485830372*12</f>
        <v>-0.44052298299644643</v>
      </c>
      <c r="J7" s="27">
        <f>0.00982265797340946*12</f>
        <v>0.11787189568091351</v>
      </c>
      <c r="K7" s="12"/>
      <c r="L7" s="27">
        <f>-0.0284850687834877*12</f>
        <v>-0.34182082540185244</v>
      </c>
      <c r="M7" s="27">
        <f>-0.0486851455711754*12</f>
        <v>-0.58422174685410477</v>
      </c>
      <c r="N7" s="27">
        <f>-0.00828499199580004*12</f>
        <v>-9.9419903949600485E-2</v>
      </c>
      <c r="O7" s="12"/>
      <c r="P7" s="27">
        <f>-0.0232855386751826*12</f>
        <v>-0.27942646410219119</v>
      </c>
      <c r="Q7" s="27">
        <f>-0.0759783613276857*12</f>
        <v>-0.91174033593222847</v>
      </c>
      <c r="R7" s="27">
        <f>0.0294072839773206*12</f>
        <v>0.35288740772784721</v>
      </c>
    </row>
    <row r="8" spans="1:18" ht="12.75" x14ac:dyDescent="0.2">
      <c r="B8" s="10" t="s">
        <v>6</v>
      </c>
      <c r="C8" s="6" t="s">
        <v>18</v>
      </c>
      <c r="D8" s="27">
        <v>83.870378369450904</v>
      </c>
      <c r="E8" s="27">
        <v>82.52573111822781</v>
      </c>
      <c r="F8" s="27">
        <v>85.215025620673998</v>
      </c>
      <c r="G8" s="12"/>
      <c r="H8" s="27">
        <v>83.645356151015278</v>
      </c>
      <c r="I8" s="27">
        <v>82.102170349880055</v>
      </c>
      <c r="J8" s="27">
        <v>85.188541952150501</v>
      </c>
      <c r="K8" s="12"/>
      <c r="L8" s="27">
        <v>83.789750352947721</v>
      </c>
      <c r="M8" s="27">
        <v>82.425577552065405</v>
      </c>
      <c r="N8" s="27">
        <v>85.153923153830036</v>
      </c>
      <c r="O8" s="12"/>
      <c r="P8" s="27">
        <v>84.789925316938493</v>
      </c>
      <c r="Q8" s="27">
        <v>82.495913103483772</v>
      </c>
      <c r="R8" s="27">
        <v>87.083937530393214</v>
      </c>
    </row>
    <row r="9" spans="1:18" ht="12.75" x14ac:dyDescent="0.2">
      <c r="B9" s="6"/>
      <c r="C9" s="6" t="s">
        <v>19</v>
      </c>
      <c r="D9" s="27">
        <f>-0.00403935727114597*12</f>
        <v>-4.8472287253751634E-2</v>
      </c>
      <c r="E9" s="27">
        <f>-0.0366517354302585*12</f>
        <v>-0.439820825163102</v>
      </c>
      <c r="F9" s="27">
        <f>0.0285730208879665*12</f>
        <v>0.34287625065559801</v>
      </c>
      <c r="G9" s="12"/>
      <c r="H9" s="27">
        <f>0.00651217385324823*12</f>
        <v>7.8146086238978757E-2</v>
      </c>
      <c r="I9" s="27">
        <f>-0.0379486529503619*12</f>
        <v>-0.4553838354043428</v>
      </c>
      <c r="J9" s="27">
        <f>0.0509730006568584*12</f>
        <v>0.61167600788230081</v>
      </c>
      <c r="K9" s="12"/>
      <c r="L9" s="27">
        <f>-0.00547313642591275*12</f>
        <v>-6.5677637110953008E-2</v>
      </c>
      <c r="M9" s="27">
        <f>-0.0408010015559053*12</f>
        <v>-0.48961201867086357</v>
      </c>
      <c r="N9" s="27">
        <f>0.0298547287040798*12</f>
        <v>0.35825674444895761</v>
      </c>
      <c r="O9" s="12"/>
      <c r="P9" s="27">
        <f>-0.0568646251398907*12</f>
        <v>-0.68237550167868832</v>
      </c>
      <c r="Q9" s="27">
        <f>-0.164216196195161*12</f>
        <v>-1.970594354341932</v>
      </c>
      <c r="R9" s="27">
        <f>0.0504869459153795*12</f>
        <v>0.605843350984554</v>
      </c>
    </row>
    <row r="10" spans="1:18" ht="12.75" x14ac:dyDescent="0.2">
      <c r="B10" s="18" t="s">
        <v>10</v>
      </c>
      <c r="C10" s="19" t="s">
        <v>18</v>
      </c>
      <c r="D10" s="29">
        <v>94.688225197039358</v>
      </c>
      <c r="E10" s="29">
        <v>93.857398175762683</v>
      </c>
      <c r="F10" s="29">
        <v>95.519052218316034</v>
      </c>
      <c r="G10" s="20"/>
      <c r="H10" s="29">
        <v>94.341904787704664</v>
      </c>
      <c r="I10" s="29">
        <v>93.391469607365053</v>
      </c>
      <c r="J10" s="29">
        <v>95.292339968044274</v>
      </c>
      <c r="K10" s="20"/>
      <c r="L10" s="29">
        <v>94.792761537274416</v>
      </c>
      <c r="M10" s="29">
        <v>93.894152826439893</v>
      </c>
      <c r="N10" s="29">
        <v>95.691370248108939</v>
      </c>
      <c r="O10" s="20"/>
      <c r="P10" s="29">
        <v>94.178979671966161</v>
      </c>
      <c r="Q10" s="29">
        <v>92.968623578684031</v>
      </c>
      <c r="R10" s="29">
        <v>95.38933576524829</v>
      </c>
    </row>
    <row r="11" spans="1:18" ht="12.75" x14ac:dyDescent="0.2">
      <c r="B11" s="13"/>
      <c r="C11" s="13" t="s">
        <v>19</v>
      </c>
      <c r="D11" s="30">
        <f>-0.0213736975010767*12</f>
        <v>-0.2564843700129204</v>
      </c>
      <c r="E11" s="24">
        <f>-0.0422128173910665*12</f>
        <v>-0.50655380869279798</v>
      </c>
      <c r="F11" s="24">
        <f>-0.000534577611086945*12</f>
        <v>-6.4149313330433399E-3</v>
      </c>
      <c r="G11" s="14"/>
      <c r="H11" s="24">
        <f>-0.00648006037818812*12</f>
        <v>-7.7760724538257442E-2</v>
      </c>
      <c r="I11" s="24">
        <f>-0.0337413411479734*12</f>
        <v>-0.40489609377568081</v>
      </c>
      <c r="J11" s="24">
        <f>0.0207812203915971*12</f>
        <v>0.2493746446991652</v>
      </c>
      <c r="K11" s="14"/>
      <c r="L11" s="30">
        <f>-0.0276833150921162*12</f>
        <v>-0.33219978110539439</v>
      </c>
      <c r="M11" s="24">
        <f>-0.0525081630492171*12</f>
        <v>-0.63009795659060519</v>
      </c>
      <c r="N11" s="24">
        <f>-0.00285846713501534*12</f>
        <v>-3.4301605620184084E-2</v>
      </c>
      <c r="O11" s="14"/>
      <c r="P11" s="24">
        <f>-0.0403237627922534*12</f>
        <v>-0.48388515350704081</v>
      </c>
      <c r="Q11" s="24">
        <f>-0.0992993176045321*12</f>
        <v>-1.1915918112543853</v>
      </c>
      <c r="R11" s="24">
        <f>0.0186517920200253*12</f>
        <v>0.22382150424030361</v>
      </c>
    </row>
    <row r="12" spans="1:18" ht="12.75" x14ac:dyDescent="0.2">
      <c r="B12" s="15" t="s">
        <v>11</v>
      </c>
      <c r="C12" s="6" t="s">
        <v>18</v>
      </c>
      <c r="D12" s="27">
        <v>91.730274587750145</v>
      </c>
      <c r="E12" s="27">
        <v>90.858598464246825</v>
      </c>
      <c r="F12" s="27">
        <v>92.601950711253465</v>
      </c>
      <c r="G12" s="12"/>
      <c r="H12" s="27">
        <v>91.224472107729014</v>
      </c>
      <c r="I12" s="27">
        <v>90.230929230542458</v>
      </c>
      <c r="J12" s="27">
        <v>92.21801498491557</v>
      </c>
      <c r="K12" s="12"/>
      <c r="L12" s="27">
        <v>91.869001659347177</v>
      </c>
      <c r="M12" s="27">
        <v>90.991689534169737</v>
      </c>
      <c r="N12" s="27">
        <v>92.746313784524617</v>
      </c>
      <c r="O12" s="12"/>
      <c r="P12" s="27">
        <v>92.308587088838053</v>
      </c>
      <c r="Q12" s="27">
        <v>90.867169775220731</v>
      </c>
      <c r="R12" s="27">
        <v>93.750004402455374</v>
      </c>
    </row>
    <row r="13" spans="1:18" ht="12.75" x14ac:dyDescent="0.2">
      <c r="B13" s="13"/>
      <c r="C13" s="13" t="s">
        <v>19</v>
      </c>
      <c r="D13" s="24">
        <f>0.00385661235346958*12</f>
        <v>4.627934824163496E-2</v>
      </c>
      <c r="E13" s="24">
        <f>-0.0171647861662627*12</f>
        <v>-0.20597743399515239</v>
      </c>
      <c r="F13" s="24">
        <f>0.0248780108732019*12</f>
        <v>0.29853613047842276</v>
      </c>
      <c r="G13" s="14"/>
      <c r="H13" s="24">
        <f>0.0241645004875712*12</f>
        <v>0.28997400585085442</v>
      </c>
      <c r="I13" s="24">
        <f>-0.00386098236691473*12</f>
        <v>-4.6331788402976762E-2</v>
      </c>
      <c r="J13" s="24">
        <f>0.0521899833420572*12</f>
        <v>0.62627980010468631</v>
      </c>
      <c r="K13" s="14"/>
      <c r="L13" s="24">
        <f>-0.00363162327430003*12</f>
        <v>-4.3579479291600359E-2</v>
      </c>
      <c r="M13" s="24">
        <f>-0.0264104667495906*12</f>
        <v>-0.31692560099508715</v>
      </c>
      <c r="N13" s="24">
        <f>0.0191472202009906*12</f>
        <v>0.22976664241188718</v>
      </c>
      <c r="O13" s="14"/>
      <c r="P13" s="24">
        <f>-0.0231156649892603*12</f>
        <v>-0.27738797987112362</v>
      </c>
      <c r="Q13" s="24">
        <f>-0.0909411448109582*12</f>
        <v>-1.0912937377314984</v>
      </c>
      <c r="R13" s="24">
        <f>0.0447098148324375*12</f>
        <v>0.53651777798925004</v>
      </c>
    </row>
    <row r="14" spans="1:18" ht="15" x14ac:dyDescent="0.2">
      <c r="B14" s="16" t="s">
        <v>12</v>
      </c>
      <c r="C14" s="52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</row>
    <row r="15" spans="1:18" ht="12.75" x14ac:dyDescent="0.2">
      <c r="B15" s="10" t="s">
        <v>1</v>
      </c>
      <c r="C15" s="6" t="s">
        <v>18</v>
      </c>
      <c r="D15" s="27">
        <v>94.14741049795191</v>
      </c>
      <c r="E15" s="27">
        <v>93.424031871724367</v>
      </c>
      <c r="F15" s="27">
        <v>94.870789124179453</v>
      </c>
      <c r="G15" s="12"/>
      <c r="H15" s="27">
        <v>93.777118242689383</v>
      </c>
      <c r="I15" s="27">
        <v>92.972756729507807</v>
      </c>
      <c r="J15" s="27">
        <v>94.581479755870959</v>
      </c>
      <c r="K15" s="12"/>
      <c r="L15" s="27">
        <v>94.264227965393417</v>
      </c>
      <c r="M15" s="27">
        <v>93.532885630478731</v>
      </c>
      <c r="N15" s="27">
        <v>94.995570300308103</v>
      </c>
      <c r="O15" s="12"/>
      <c r="P15" s="27">
        <v>94.905048954317181</v>
      </c>
      <c r="Q15" s="27">
        <v>93.672432493729616</v>
      </c>
      <c r="R15" s="27">
        <v>96.137665414904745</v>
      </c>
    </row>
    <row r="16" spans="1:18" ht="12.75" x14ac:dyDescent="0.2">
      <c r="B16" s="6"/>
      <c r="C16" s="6" t="s">
        <v>19</v>
      </c>
      <c r="D16" s="27">
        <f>-0.00136865593575545*12</f>
        <v>-1.6423871229065398E-2</v>
      </c>
      <c r="E16" s="27">
        <f>-0.0188941172614108*12</f>
        <v>-0.22672940713692963</v>
      </c>
      <c r="F16" s="27">
        <f>0.0161568053898999*12</f>
        <v>0.1938816646787988</v>
      </c>
      <c r="G16" s="12"/>
      <c r="H16" s="27">
        <f>0.0137648983312863*12</f>
        <v>0.16517877997543559</v>
      </c>
      <c r="I16" s="27">
        <f>-0.00882278536989215*12</f>
        <v>-0.10587342443870579</v>
      </c>
      <c r="J16" s="27">
        <f>0.0363525820324647*12</f>
        <v>0.43623098438957641</v>
      </c>
      <c r="K16" s="12"/>
      <c r="L16" s="27">
        <f>-0.00971378104509009*12</f>
        <v>-0.1165653725410811</v>
      </c>
      <c r="M16" s="27">
        <f>-0.0290840971088962*12</f>
        <v>-0.34900916530675441</v>
      </c>
      <c r="N16" s="27">
        <f>0.00965653501871602*12</f>
        <v>0.11587842022459224</v>
      </c>
      <c r="O16" s="12"/>
      <c r="P16" s="27">
        <f>-0.041328898194819*12</f>
        <v>-0.49594677833782796</v>
      </c>
      <c r="Q16" s="27">
        <f>-0.100863643173539*12</f>
        <v>-1.210363718082468</v>
      </c>
      <c r="R16" s="27">
        <f>0.0182058467839008*12</f>
        <v>0.21847016140680958</v>
      </c>
    </row>
    <row r="17" spans="2:20" ht="12.75" x14ac:dyDescent="0.2">
      <c r="B17" s="10" t="s">
        <v>2</v>
      </c>
      <c r="C17" s="6" t="s">
        <v>18</v>
      </c>
      <c r="D17" s="27">
        <v>81.327555385907203</v>
      </c>
      <c r="E17" s="27">
        <v>80.109186812089348</v>
      </c>
      <c r="F17" s="27">
        <v>82.545923959725059</v>
      </c>
      <c r="G17" s="12"/>
      <c r="H17" s="27">
        <v>81.244241165704835</v>
      </c>
      <c r="I17" s="27">
        <v>79.920586408585649</v>
      </c>
      <c r="J17" s="27">
        <v>82.567895922824022</v>
      </c>
      <c r="K17" s="12"/>
      <c r="L17" s="27">
        <v>81.249160472457731</v>
      </c>
      <c r="M17" s="27">
        <v>79.986032913117967</v>
      </c>
      <c r="N17" s="27">
        <v>82.512288031797496</v>
      </c>
      <c r="O17" s="12"/>
      <c r="P17" s="27">
        <v>82.735427058709035</v>
      </c>
      <c r="Q17" s="27">
        <v>80.53222917950535</v>
      </c>
      <c r="R17" s="27">
        <v>84.938624937912721</v>
      </c>
    </row>
    <row r="18" spans="2:20" ht="12.75" x14ac:dyDescent="0.2">
      <c r="B18" s="13"/>
      <c r="C18" s="13" t="s">
        <v>19</v>
      </c>
      <c r="D18" s="24">
        <f>0.0202335150465559*12</f>
        <v>0.24280218055867078</v>
      </c>
      <c r="E18" s="24">
        <f>-0.00873440841235387*12</f>
        <v>-0.10481290094824644</v>
      </c>
      <c r="F18" s="24">
        <f>0.0492014385054657*12</f>
        <v>0.59041726206558831</v>
      </c>
      <c r="G18" s="14"/>
      <c r="H18" s="24">
        <f>0.0235186931228732*12</f>
        <v>0.2822243174744784</v>
      </c>
      <c r="I18" s="24">
        <f>-0.0140299235038377*12</f>
        <v>-0.16835908204605241</v>
      </c>
      <c r="J18" s="24">
        <f>0.0610673097495842*12</f>
        <v>0.73280771699501046</v>
      </c>
      <c r="K18" s="14"/>
      <c r="L18" s="24">
        <f>0.0216639298286803*12</f>
        <v>0.25996715794416358</v>
      </c>
      <c r="M18" s="24">
        <f>-0.0103663171439455*12</f>
        <v>-0.12439580572734599</v>
      </c>
      <c r="N18" s="24">
        <f>0.0536941768013061*12</f>
        <v>0.64433012161567316</v>
      </c>
      <c r="O18" s="14"/>
      <c r="P18" s="24">
        <f>-0.0133909642946073*12</f>
        <v>-0.1606915715352876</v>
      </c>
      <c r="Q18" s="24">
        <f>-0.115034265147742*12</f>
        <v>-1.3804111817729039</v>
      </c>
      <c r="R18" s="24">
        <f>0.088252336558527*12</f>
        <v>1.0590280387023241</v>
      </c>
    </row>
    <row r="19" spans="2:20" ht="12.75" x14ac:dyDescent="0.2">
      <c r="B19" s="16" t="s">
        <v>13</v>
      </c>
      <c r="C19" s="52"/>
      <c r="D19" s="47"/>
      <c r="E19" s="47"/>
      <c r="F19" s="47"/>
      <c r="G19" s="46"/>
      <c r="H19" s="47"/>
      <c r="I19" s="47"/>
      <c r="J19" s="47"/>
      <c r="K19" s="46"/>
      <c r="L19" s="47"/>
      <c r="M19" s="47"/>
      <c r="N19" s="47"/>
      <c r="O19" s="46"/>
      <c r="P19" s="47"/>
      <c r="Q19" s="47"/>
      <c r="R19" s="47"/>
    </row>
    <row r="20" spans="2:20" ht="12.75" x14ac:dyDescent="0.2">
      <c r="B20" s="10" t="s">
        <v>14</v>
      </c>
      <c r="C20" s="6" t="s">
        <v>18</v>
      </c>
      <c r="D20" s="32"/>
      <c r="E20" s="32"/>
      <c r="F20" s="32"/>
      <c r="G20" s="33"/>
      <c r="H20" s="32"/>
      <c r="I20" s="32"/>
      <c r="J20" s="32"/>
      <c r="K20" s="33"/>
      <c r="L20" s="32"/>
      <c r="M20" s="32"/>
      <c r="N20" s="32"/>
      <c r="O20" s="33"/>
      <c r="P20" s="32"/>
      <c r="Q20" s="32"/>
      <c r="R20" s="32"/>
    </row>
    <row r="21" spans="2:20" ht="12.75" x14ac:dyDescent="0.2">
      <c r="B21" s="6"/>
      <c r="C21" s="6" t="s">
        <v>19</v>
      </c>
      <c r="D21" s="32"/>
      <c r="E21" s="32"/>
      <c r="F21" s="32"/>
      <c r="G21" s="33"/>
      <c r="H21" s="32"/>
      <c r="I21" s="32"/>
      <c r="J21" s="32"/>
      <c r="K21" s="33"/>
      <c r="L21" s="32"/>
      <c r="M21" s="32"/>
      <c r="N21" s="32"/>
      <c r="O21" s="33"/>
      <c r="P21" s="32"/>
      <c r="Q21" s="32"/>
      <c r="R21" s="32"/>
    </row>
    <row r="22" spans="2:20" ht="12.75" x14ac:dyDescent="0.2">
      <c r="B22" s="10" t="s">
        <v>0</v>
      </c>
      <c r="C22" s="6" t="s">
        <v>18</v>
      </c>
      <c r="D22" s="27">
        <v>90.441356708155908</v>
      </c>
      <c r="E22" s="27">
        <v>89.343089322347552</v>
      </c>
      <c r="F22" s="27">
        <v>91.539624093964264</v>
      </c>
      <c r="G22" s="12"/>
      <c r="H22" s="27">
        <v>89.785867040362973</v>
      </c>
      <c r="I22" s="27">
        <v>88.582341338431917</v>
      </c>
      <c r="J22" s="27">
        <v>90.989392742294029</v>
      </c>
      <c r="K22" s="12"/>
      <c r="L22" s="27">
        <v>90.388631961202009</v>
      </c>
      <c r="M22" s="27">
        <v>89.32682558479901</v>
      </c>
      <c r="N22" s="27">
        <v>91.450438337605007</v>
      </c>
      <c r="O22" s="12"/>
      <c r="P22" s="27">
        <v>94.280954432878474</v>
      </c>
      <c r="Q22" s="27">
        <v>92.666183112441018</v>
      </c>
      <c r="R22" s="27">
        <v>95.895725753315929</v>
      </c>
    </row>
    <row r="23" spans="2:20" ht="12.75" x14ac:dyDescent="0.2">
      <c r="B23" s="13"/>
      <c r="C23" s="13" t="s">
        <v>19</v>
      </c>
      <c r="D23" s="30">
        <f>0.0464055818104385*12</f>
        <v>0.55686698172526206</v>
      </c>
      <c r="E23" s="24">
        <f>0.0209136886484324*12</f>
        <v>0.2509642637811888</v>
      </c>
      <c r="F23" s="24">
        <f>0.0718974749724445*12</f>
        <v>0.86276969966933403</v>
      </c>
      <c r="G23" s="14"/>
      <c r="H23" s="30">
        <f>0.071095646521507*12</f>
        <v>0.85314775825808398</v>
      </c>
      <c r="I23" s="24">
        <f>0.038878168305975*12</f>
        <v>0.4665380196717</v>
      </c>
      <c r="J23" s="24">
        <f>0.103313124737039*12</f>
        <v>1.239757496844468</v>
      </c>
      <c r="K23" s="14"/>
      <c r="L23" s="30">
        <f>0.0380727482516232*12</f>
        <v>0.45687297901947838</v>
      </c>
      <c r="M23" s="24">
        <f>0.0115900039448582*12</f>
        <v>0.1390800473382984</v>
      </c>
      <c r="N23" s="24">
        <f>0.0645554925583882*12</f>
        <v>0.77466591070065838</v>
      </c>
      <c r="O23" s="14"/>
      <c r="P23" s="24">
        <f>-0.0576290620926612*12</f>
        <v>-0.69154874511193443</v>
      </c>
      <c r="Q23" s="24">
        <f>-0.134832468904332*12</f>
        <v>-1.6179896268519842</v>
      </c>
      <c r="R23" s="24">
        <f>0.0195743447190096*12</f>
        <v>0.2348921366281152</v>
      </c>
      <c r="T23" s="4"/>
    </row>
    <row r="24" spans="2:20" ht="12.75" x14ac:dyDescent="0.2">
      <c r="B24" s="15" t="s">
        <v>15</v>
      </c>
      <c r="C24" s="6" t="s">
        <v>18</v>
      </c>
      <c r="D24" s="27">
        <v>91.045950269800798</v>
      </c>
      <c r="E24" s="27">
        <v>90.134739180786411</v>
      </c>
      <c r="F24" s="27">
        <v>91.957161358815185</v>
      </c>
      <c r="G24" s="12"/>
      <c r="H24" s="27">
        <v>90.622247851028121</v>
      </c>
      <c r="I24" s="27">
        <v>89.602925446243802</v>
      </c>
      <c r="J24" s="27">
        <v>91.641570255812439</v>
      </c>
      <c r="K24" s="12"/>
      <c r="L24" s="27">
        <v>91.191038546717991</v>
      </c>
      <c r="M24" s="27">
        <v>90.287927290721214</v>
      </c>
      <c r="N24" s="27">
        <v>92.094149802714767</v>
      </c>
      <c r="O24" s="12"/>
      <c r="P24" s="27">
        <v>91.775855010781555</v>
      </c>
      <c r="Q24" s="27">
        <v>90.15829061880909</v>
      </c>
      <c r="R24" s="27">
        <v>93.39341940275402</v>
      </c>
    </row>
    <row r="25" spans="2:20" ht="12.75" x14ac:dyDescent="0.2">
      <c r="B25" s="13"/>
      <c r="C25" s="13" t="s">
        <v>19</v>
      </c>
      <c r="D25" s="24">
        <f>0.0112126036102319*12</f>
        <v>0.13455124332278279</v>
      </c>
      <c r="E25" s="24">
        <f>-0.010855189867944*12</f>
        <v>-0.130262278415328</v>
      </c>
      <c r="F25" s="24">
        <f>0.0332803970884077*12</f>
        <v>0.39936476506089241</v>
      </c>
      <c r="G25" s="14"/>
      <c r="H25" s="24">
        <f>0.0290517451744686*12</f>
        <v>0.34862094209362321</v>
      </c>
      <c r="I25" s="24">
        <f>-0.0000333692671887291*12</f>
        <v>-4.0043120626474923E-4</v>
      </c>
      <c r="J25" s="24">
        <f>0.0581368596161258*12</f>
        <v>0.69764231539350963</v>
      </c>
      <c r="K25" s="14"/>
      <c r="L25" s="24">
        <f>0.00254164219248199*12</f>
        <v>3.0499706309783881E-2</v>
      </c>
      <c r="M25" s="24">
        <f>-0.0209752240036099*12</f>
        <v>-0.2517026880433188</v>
      </c>
      <c r="N25" s="24">
        <f>0.0260585083885738*12</f>
        <v>0.31270210066288562</v>
      </c>
      <c r="O25" s="14"/>
      <c r="P25" s="24">
        <f>-0.00613254809081432*12</f>
        <v>-7.3590577089771847E-2</v>
      </c>
      <c r="Q25" s="24">
        <f>-0.0810023556948626*12</f>
        <v>-0.97202826833835121</v>
      </c>
      <c r="R25" s="24">
        <f>0.068737259513234*12</f>
        <v>0.82484711415880807</v>
      </c>
    </row>
    <row r="26" spans="2:20" ht="12.75" x14ac:dyDescent="0.2">
      <c r="B26" s="16" t="s">
        <v>3</v>
      </c>
      <c r="C26" s="52"/>
      <c r="D26" s="47"/>
      <c r="E26" s="47"/>
      <c r="F26" s="47"/>
      <c r="G26" s="46"/>
      <c r="H26" s="47"/>
      <c r="I26" s="47"/>
      <c r="J26" s="47"/>
      <c r="K26" s="46"/>
      <c r="L26" s="47"/>
      <c r="M26" s="47"/>
      <c r="N26" s="47"/>
      <c r="O26" s="46"/>
      <c r="P26" s="47"/>
      <c r="Q26" s="47"/>
      <c r="R26" s="47"/>
    </row>
    <row r="27" spans="2:20" ht="12.75" x14ac:dyDescent="0.2">
      <c r="B27" s="10" t="s">
        <v>0</v>
      </c>
      <c r="C27" s="6" t="s">
        <v>18</v>
      </c>
      <c r="D27" s="27">
        <v>93.006998791332649</v>
      </c>
      <c r="E27" s="27">
        <v>92.241265360723276</v>
      </c>
      <c r="F27" s="27">
        <v>93.772732221942022</v>
      </c>
      <c r="G27" s="12"/>
      <c r="H27" s="27">
        <v>92.71804385248133</v>
      </c>
      <c r="I27" s="27">
        <v>91.880846494313204</v>
      </c>
      <c r="J27" s="27">
        <v>93.555241210649456</v>
      </c>
      <c r="K27" s="12"/>
      <c r="L27" s="27">
        <v>93.138188751220909</v>
      </c>
      <c r="M27" s="27">
        <v>92.332185480374079</v>
      </c>
      <c r="N27" s="27">
        <v>93.944192022067739</v>
      </c>
      <c r="O27" s="12"/>
      <c r="P27" s="27">
        <v>92.672006205571691</v>
      </c>
      <c r="Q27" s="27">
        <v>91.371750762638953</v>
      </c>
      <c r="R27" s="27">
        <v>93.972261648504428</v>
      </c>
    </row>
    <row r="28" spans="2:20" ht="12.75" x14ac:dyDescent="0.2">
      <c r="B28" s="10"/>
      <c r="C28" s="6" t="s">
        <v>19</v>
      </c>
      <c r="D28" s="27">
        <f>0.0069623779281947*12</f>
        <v>8.3548535138336405E-2</v>
      </c>
      <c r="E28" s="27">
        <f>-0.0111960183056971*12</f>
        <v>-0.13435221966836519</v>
      </c>
      <c r="F28" s="27">
        <f>0.0251207741620865*12</f>
        <v>0.301449289945038</v>
      </c>
      <c r="G28" s="12"/>
      <c r="H28" s="27">
        <f>0.0201345642792849*12</f>
        <v>0.24161477135141882</v>
      </c>
      <c r="I28" s="27">
        <f>-0.00289041966317317*12</f>
        <v>-3.4685035958078037E-2</v>
      </c>
      <c r="J28" s="27">
        <f>0.0431595482217431*12</f>
        <v>0.51791457866091717</v>
      </c>
      <c r="K28" s="12"/>
      <c r="L28" s="27">
        <f>0.000983183485871057*12</f>
        <v>1.1798201830452684E-2</v>
      </c>
      <c r="M28" s="27">
        <f>-0.0197840224543951*12</f>
        <v>-0.23740826945274118</v>
      </c>
      <c r="N28" s="27">
        <f>0.0217503894261372*12</f>
        <v>0.26100467311364639</v>
      </c>
      <c r="O28" s="12"/>
      <c r="P28" s="27">
        <f>0.0278078322968847*12</f>
        <v>0.33369398756261637</v>
      </c>
      <c r="Q28" s="27">
        <f>-0.0314549277888345*12</f>
        <v>-0.37745913346601401</v>
      </c>
      <c r="R28" s="27">
        <f>0.0870705923826039*12</f>
        <v>1.0448471085912467</v>
      </c>
    </row>
    <row r="29" spans="2:20" ht="12.75" x14ac:dyDescent="0.2">
      <c r="B29" s="10" t="s">
        <v>6</v>
      </c>
      <c r="C29" s="6" t="s">
        <v>18</v>
      </c>
      <c r="D29" s="27">
        <v>82.373842045143846</v>
      </c>
      <c r="E29" s="27">
        <v>81.137430140962792</v>
      </c>
      <c r="F29" s="27">
        <v>83.6102539493249</v>
      </c>
      <c r="G29" s="12"/>
      <c r="H29" s="27">
        <v>82.141503161686259</v>
      </c>
      <c r="I29" s="27">
        <v>80.812599899422381</v>
      </c>
      <c r="J29" s="27">
        <v>83.470406423950138</v>
      </c>
      <c r="K29" s="12"/>
      <c r="L29" s="27">
        <v>82.417361149788604</v>
      </c>
      <c r="M29" s="27">
        <v>81.105362689966299</v>
      </c>
      <c r="N29" s="27">
        <v>83.72935960961091</v>
      </c>
      <c r="O29" s="12"/>
      <c r="P29" s="27">
        <v>82.521612173276154</v>
      </c>
      <c r="Q29" s="27">
        <v>80.317299208005593</v>
      </c>
      <c r="R29" s="27">
        <v>84.725925138546714</v>
      </c>
    </row>
    <row r="30" spans="2:20" ht="12.75" x14ac:dyDescent="0.2">
      <c r="B30" s="13"/>
      <c r="C30" s="13" t="s">
        <v>19</v>
      </c>
      <c r="D30" s="24">
        <f>0.0189663407491251*12</f>
        <v>0.22759608898950121</v>
      </c>
      <c r="E30" s="24">
        <f>-0.0104155741006923*12</f>
        <v>-0.12498688920830761</v>
      </c>
      <c r="F30" s="24">
        <f>0.0483482555989425*12</f>
        <v>0.58017906718730994</v>
      </c>
      <c r="G30" s="14"/>
      <c r="H30" s="24">
        <f>0.031150390361253*12</f>
        <v>0.373804684335036</v>
      </c>
      <c r="I30" s="24">
        <f>-0.00620106356607809*12</f>
        <v>-7.4412762792937084E-2</v>
      </c>
      <c r="J30" s="24">
        <f>0.0685018442885842*12</f>
        <v>0.82202213146301051</v>
      </c>
      <c r="K30" s="14"/>
      <c r="L30" s="24">
        <f>0.0157232405045912*12</f>
        <v>0.18867888605509442</v>
      </c>
      <c r="M30" s="24">
        <f>-0.0177267504809257*12</f>
        <v>-0.21272100577110842</v>
      </c>
      <c r="N30" s="24">
        <f>0.0491732314901081*12</f>
        <v>0.59007877788129715</v>
      </c>
      <c r="O30" s="14"/>
      <c r="P30" s="24">
        <f>0.0361192225196376*12</f>
        <v>0.43343067023565124</v>
      </c>
      <c r="Q30" s="24">
        <f>-0.0640431476791591*12</f>
        <v>-0.76851777214990924</v>
      </c>
      <c r="R30" s="24">
        <f>0.136281592718434*12</f>
        <v>1.6353791126212083</v>
      </c>
    </row>
    <row r="31" spans="2:20" ht="12.75" x14ac:dyDescent="0.2">
      <c r="B31" s="16" t="s">
        <v>16</v>
      </c>
      <c r="C31" s="52"/>
      <c r="D31" s="47"/>
      <c r="E31" s="47"/>
      <c r="F31" s="47"/>
      <c r="G31" s="46"/>
      <c r="H31" s="47"/>
      <c r="I31" s="47"/>
      <c r="J31" s="47"/>
      <c r="K31" s="46"/>
      <c r="L31" s="47"/>
      <c r="M31" s="47"/>
      <c r="N31" s="47"/>
      <c r="O31" s="46"/>
      <c r="P31" s="47"/>
      <c r="Q31" s="47"/>
      <c r="R31" s="47"/>
    </row>
    <row r="32" spans="2:20" ht="12.75" x14ac:dyDescent="0.2">
      <c r="B32" s="10" t="s">
        <v>35</v>
      </c>
      <c r="C32" s="6" t="s">
        <v>18</v>
      </c>
      <c r="D32" s="27">
        <v>80.84562824021468</v>
      </c>
      <c r="E32" s="27">
        <v>79.621895559077302</v>
      </c>
      <c r="F32" s="27">
        <v>82.069360921352057</v>
      </c>
      <c r="G32" s="12"/>
      <c r="H32" s="27">
        <v>80.470541348437749</v>
      </c>
      <c r="I32" s="27">
        <v>79.07056942072721</v>
      </c>
      <c r="J32" s="27">
        <v>81.870513276148287</v>
      </c>
      <c r="K32" s="12"/>
      <c r="L32" s="27">
        <v>80.767723692694275</v>
      </c>
      <c r="M32" s="27">
        <v>79.460334077516919</v>
      </c>
      <c r="N32" s="27">
        <v>82.075113307871632</v>
      </c>
      <c r="O32" s="12"/>
      <c r="P32" s="27">
        <v>84.445801485009682</v>
      </c>
      <c r="Q32" s="27">
        <v>82.496836801650502</v>
      </c>
      <c r="R32" s="27">
        <v>86.394766168368861</v>
      </c>
    </row>
    <row r="33" spans="2:19" ht="12.75" x14ac:dyDescent="0.2">
      <c r="B33" s="6"/>
      <c r="C33" s="6" t="s">
        <v>19</v>
      </c>
      <c r="D33" s="28">
        <f>0.0949411755095224*12</f>
        <v>1.1392941061142687</v>
      </c>
      <c r="E33" s="27">
        <f>0.0646142042466744*12</f>
        <v>0.77537045096009272</v>
      </c>
      <c r="F33" s="27">
        <f>0.12526814677237*12</f>
        <v>1.5032177612684401</v>
      </c>
      <c r="G33" s="12"/>
      <c r="H33" s="28">
        <f>0.110152542127888*12</f>
        <v>1.321830505534656</v>
      </c>
      <c r="I33" s="27">
        <f>0.069061259106398*12</f>
        <v>0.82873510927677607</v>
      </c>
      <c r="J33" s="27">
        <f>0.151243825149379*12</f>
        <v>1.8149259017925481</v>
      </c>
      <c r="K33" s="12"/>
      <c r="L33" s="28">
        <f>0.0989009357974042*12</f>
        <v>1.1868112295688502</v>
      </c>
      <c r="M33" s="27">
        <f>0.0648085061910532*12</f>
        <v>0.77770207429263838</v>
      </c>
      <c r="N33" s="27">
        <f>0.132993365403755*12</f>
        <v>1.59592038484506</v>
      </c>
      <c r="O33" s="12"/>
      <c r="P33" s="27">
        <f>0.0664457499961723*12</f>
        <v>0.79734899995406749</v>
      </c>
      <c r="Q33" s="27">
        <f>-0.028853682277249*12</f>
        <v>-0.34624418732698803</v>
      </c>
      <c r="R33" s="27">
        <f>0.161745182269594*12</f>
        <v>1.940942187235128</v>
      </c>
    </row>
    <row r="34" spans="2:19" ht="12.75" x14ac:dyDescent="0.2">
      <c r="B34" s="10" t="s">
        <v>4</v>
      </c>
      <c r="C34" s="6" t="s">
        <v>18</v>
      </c>
      <c r="D34" s="27">
        <v>51.418789167721314</v>
      </c>
      <c r="E34" s="27">
        <v>49.562541028396851</v>
      </c>
      <c r="F34" s="27">
        <v>53.275037307045778</v>
      </c>
      <c r="G34" s="12"/>
      <c r="H34" s="27">
        <v>51.357571850278738</v>
      </c>
      <c r="I34" s="27">
        <v>49.214386179810361</v>
      </c>
      <c r="J34" s="27">
        <v>53.500757520747115</v>
      </c>
      <c r="K34" s="12"/>
      <c r="L34" s="27">
        <v>51.247030719621186</v>
      </c>
      <c r="M34" s="27">
        <v>49.415599492551983</v>
      </c>
      <c r="N34" s="27">
        <v>53.078461946690389</v>
      </c>
      <c r="O34" s="12"/>
      <c r="P34" s="27">
        <v>57.233066896737959</v>
      </c>
      <c r="Q34" s="27">
        <v>53.917048412588542</v>
      </c>
      <c r="R34" s="27">
        <v>60.549085380887377</v>
      </c>
    </row>
    <row r="35" spans="2:19" ht="12.75" x14ac:dyDescent="0.2">
      <c r="B35" s="13"/>
      <c r="C35" s="13" t="s">
        <v>19</v>
      </c>
      <c r="D35" s="30">
        <f>0.145735347108985*12</f>
        <v>1.74882416530782</v>
      </c>
      <c r="E35" s="24">
        <f>0.0999479608485233*12</f>
        <v>1.1993755301822795</v>
      </c>
      <c r="F35" s="24">
        <f>0.191522733369447*12</f>
        <v>2.2982728004333639</v>
      </c>
      <c r="G35" s="14"/>
      <c r="H35" s="30">
        <f>0.148088594549271*12</f>
        <v>1.777063134591252</v>
      </c>
      <c r="I35" s="24">
        <f>0.083829729714824*12</f>
        <v>1.005956756577888</v>
      </c>
      <c r="J35" s="24">
        <f>0.212347459383717*12</f>
        <v>2.5481695126046038</v>
      </c>
      <c r="K35" s="14"/>
      <c r="L35" s="30">
        <f>0.15307078336711*12</f>
        <v>1.83684940040532</v>
      </c>
      <c r="M35" s="24">
        <f>0.105139046423181*12</f>
        <v>1.261668557078172</v>
      </c>
      <c r="N35" s="24">
        <f>0.201002520311039*12</f>
        <v>2.4120302437324677</v>
      </c>
      <c r="O35" s="14"/>
      <c r="P35" s="24">
        <f>0.106366126046052*12</f>
        <v>1.276393512552624</v>
      </c>
      <c r="Q35" s="24">
        <f>-0.0577333370944614*12</f>
        <v>-0.69280004513353677</v>
      </c>
      <c r="R35" s="24">
        <f>0.270465589186565*12</f>
        <v>3.2455870702387797</v>
      </c>
    </row>
    <row r="36" spans="2:19" ht="15" x14ac:dyDescent="0.2">
      <c r="B36" s="15" t="s">
        <v>7</v>
      </c>
      <c r="C36" s="6" t="s">
        <v>18</v>
      </c>
      <c r="D36" s="32"/>
      <c r="E36" s="32"/>
      <c r="F36" s="32"/>
      <c r="G36" s="33"/>
      <c r="H36" s="32"/>
      <c r="I36" s="32"/>
      <c r="J36" s="32"/>
      <c r="K36" s="33"/>
      <c r="L36" s="32"/>
      <c r="M36" s="32"/>
      <c r="N36" s="32"/>
      <c r="O36" s="33"/>
      <c r="P36" s="32"/>
      <c r="Q36" s="32"/>
      <c r="R36" s="32"/>
    </row>
    <row r="37" spans="2:19" ht="12.75" x14ac:dyDescent="0.2">
      <c r="B37" s="13"/>
      <c r="C37" s="13" t="s">
        <v>19</v>
      </c>
      <c r="D37" s="34"/>
      <c r="E37" s="34"/>
      <c r="F37" s="34"/>
      <c r="G37" s="35"/>
      <c r="H37" s="34"/>
      <c r="I37" s="34"/>
      <c r="J37" s="34"/>
      <c r="K37" s="35"/>
      <c r="L37" s="34"/>
      <c r="M37" s="34"/>
      <c r="N37" s="34"/>
      <c r="O37" s="35"/>
      <c r="P37" s="34"/>
      <c r="Q37" s="34"/>
      <c r="R37" s="34"/>
    </row>
    <row r="38" spans="2:19" ht="12.75" x14ac:dyDescent="0.2">
      <c r="B38" s="16"/>
      <c r="C38" s="52"/>
      <c r="D38" s="47"/>
      <c r="E38" s="47"/>
      <c r="F38" s="47"/>
      <c r="G38" s="46"/>
      <c r="H38" s="47"/>
      <c r="I38" s="47"/>
      <c r="J38" s="47"/>
      <c r="K38" s="46"/>
      <c r="L38" s="47"/>
      <c r="M38" s="47"/>
      <c r="N38" s="47"/>
      <c r="O38" s="46"/>
      <c r="P38" s="47"/>
      <c r="Q38" s="47"/>
      <c r="R38" s="47"/>
    </row>
    <row r="39" spans="2:19" ht="15" x14ac:dyDescent="0.2">
      <c r="B39" s="21" t="s">
        <v>17</v>
      </c>
      <c r="C39" s="6" t="s">
        <v>18</v>
      </c>
      <c r="D39" s="27">
        <v>68.73604480891116</v>
      </c>
      <c r="E39" s="27">
        <v>66.901501330484706</v>
      </c>
      <c r="F39" s="27">
        <v>70.570588287337614</v>
      </c>
      <c r="G39" s="12"/>
      <c r="H39" s="27">
        <v>67.531029415927222</v>
      </c>
      <c r="I39" s="27">
        <v>65.458309651546642</v>
      </c>
      <c r="J39" s="27">
        <v>69.603749180307801</v>
      </c>
      <c r="K39" s="12"/>
      <c r="L39" s="27">
        <v>68.853393694750267</v>
      </c>
      <c r="M39" s="27">
        <v>66.909494821935766</v>
      </c>
      <c r="N39" s="27">
        <v>70.797292567564767</v>
      </c>
      <c r="O39" s="12"/>
      <c r="P39" s="27">
        <v>70.784752494476592</v>
      </c>
      <c r="Q39" s="27">
        <v>68.03361893232605</v>
      </c>
      <c r="R39" s="27">
        <v>73.535886056627135</v>
      </c>
    </row>
    <row r="40" spans="2:19" ht="12.75" x14ac:dyDescent="0.2">
      <c r="B40" s="13"/>
      <c r="C40" s="13" t="s">
        <v>19</v>
      </c>
      <c r="D40" s="24">
        <f>0.035349903130343*12</f>
        <v>0.42419883756411603</v>
      </c>
      <c r="E40" s="24">
        <f>-0.0102760916110187*12</f>
        <v>-0.1233130993322244</v>
      </c>
      <c r="F40" s="24">
        <f>0.0809758978717047*12</f>
        <v>0.97171077446045639</v>
      </c>
      <c r="G40" s="14"/>
      <c r="H40" s="30">
        <f>0.0882123623344113*12</f>
        <v>1.0585483480129356</v>
      </c>
      <c r="I40" s="24">
        <f>0.02685967124918*12</f>
        <v>0.32231605499016003</v>
      </c>
      <c r="J40" s="24">
        <f>0.149565053419643*12</f>
        <v>1.7947806410357159</v>
      </c>
      <c r="K40" s="14"/>
      <c r="L40" s="24">
        <f>0.0266596952971156*12</f>
        <v>0.31991634356538723</v>
      </c>
      <c r="M40" s="24">
        <f>-0.0252030381599879*12</f>
        <v>-0.3024364579198548</v>
      </c>
      <c r="N40" s="24">
        <f>0.0785224287542191*12</f>
        <v>0.94226914505062909</v>
      </c>
      <c r="O40" s="14"/>
      <c r="P40" s="24">
        <f>-0.0349097940263868*12</f>
        <v>-0.41891752831664164</v>
      </c>
      <c r="Q40" s="24">
        <f>-0.172821397613127*12</f>
        <v>-2.0738567713575242</v>
      </c>
      <c r="R40" s="24">
        <f>0.103001809560353*12</f>
        <v>1.2360217147242361</v>
      </c>
    </row>
    <row r="42" spans="2:19" ht="21.75" customHeight="1" x14ac:dyDescent="0.2">
      <c r="B42" s="53" t="s">
        <v>55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5"/>
    </row>
    <row r="43" spans="2:19" ht="12" x14ac:dyDescent="0.2">
      <c r="B43" s="54" t="s">
        <v>28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26"/>
    </row>
    <row r="44" spans="2:19" ht="12" x14ac:dyDescent="0.2">
      <c r="B44" s="54" t="s">
        <v>29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26"/>
    </row>
    <row r="45" spans="2:19" ht="14.25" x14ac:dyDescent="0.2">
      <c r="B45" s="54" t="s">
        <v>50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26"/>
    </row>
    <row r="46" spans="2:19" ht="14.25" x14ac:dyDescent="0.2">
      <c r="B46" s="54" t="s">
        <v>40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26"/>
    </row>
    <row r="47" spans="2:19" ht="14.25" x14ac:dyDescent="0.2">
      <c r="B47" s="54" t="s">
        <v>41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26"/>
    </row>
    <row r="48" spans="2:19" ht="12" x14ac:dyDescent="0.2">
      <c r="B48" s="54" t="s">
        <v>42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26"/>
    </row>
    <row r="49" spans="2:19" ht="14.25" x14ac:dyDescent="0.2">
      <c r="B49" s="54" t="s">
        <v>43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36"/>
    </row>
    <row r="50" spans="2:19" ht="21.75" customHeight="1" x14ac:dyDescent="0.2">
      <c r="B50" s="53" t="s">
        <v>44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37"/>
    </row>
    <row r="51" spans="2:19" x14ac:dyDescent="0.2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2:19" x14ac:dyDescent="0.2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2:19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2:19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2:19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2:19" x14ac:dyDescent="0.2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2:19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2:19" x14ac:dyDescent="0.2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</sheetData>
  <mergeCells count="46">
    <mergeCell ref="D3:F3"/>
    <mergeCell ref="H3:J3"/>
    <mergeCell ref="L3:N3"/>
    <mergeCell ref="P3:R3"/>
    <mergeCell ref="C5:F5"/>
    <mergeCell ref="G5:J5"/>
    <mergeCell ref="K5:N5"/>
    <mergeCell ref="O5:R5"/>
    <mergeCell ref="K14:N14"/>
    <mergeCell ref="O14:R14"/>
    <mergeCell ref="C19:F19"/>
    <mergeCell ref="G19:J19"/>
    <mergeCell ref="K19:N19"/>
    <mergeCell ref="O19:R19"/>
    <mergeCell ref="B55:S55"/>
    <mergeCell ref="A1:R1"/>
    <mergeCell ref="C38:F38"/>
    <mergeCell ref="G38:J38"/>
    <mergeCell ref="K38:N38"/>
    <mergeCell ref="O38:R38"/>
    <mergeCell ref="C26:F26"/>
    <mergeCell ref="G26:J26"/>
    <mergeCell ref="K26:N26"/>
    <mergeCell ref="O26:R26"/>
    <mergeCell ref="C31:F31"/>
    <mergeCell ref="G31:J31"/>
    <mergeCell ref="K31:N31"/>
    <mergeCell ref="O31:R31"/>
    <mergeCell ref="C14:F14"/>
    <mergeCell ref="G14:J14"/>
    <mergeCell ref="B56:S56"/>
    <mergeCell ref="B57:S57"/>
    <mergeCell ref="B58:S58"/>
    <mergeCell ref="B42:R42"/>
    <mergeCell ref="B43:R43"/>
    <mergeCell ref="B44:R44"/>
    <mergeCell ref="B45:R45"/>
    <mergeCell ref="B46:R46"/>
    <mergeCell ref="B47:R47"/>
    <mergeCell ref="B48:R48"/>
    <mergeCell ref="B49:R49"/>
    <mergeCell ref="B50:R50"/>
    <mergeCell ref="B51:S51"/>
    <mergeCell ref="B52:S52"/>
    <mergeCell ref="B53:S53"/>
    <mergeCell ref="B54:S54"/>
  </mergeCells>
  <pageMargins left="0.75" right="0.75" top="1" bottom="1" header="0.5" footer="0.5"/>
  <pageSetup paperSize="5" scale="80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T56"/>
  <sheetViews>
    <sheetView tabSelected="1" zoomScaleNormal="100" workbookViewId="0">
      <selection activeCell="U50" sqref="U50"/>
    </sheetView>
  </sheetViews>
  <sheetFormatPr defaultColWidth="9.140625" defaultRowHeight="11.25" x14ac:dyDescent="0.2"/>
  <cols>
    <col min="1" max="1" width="1" style="1" customWidth="1"/>
    <col min="2" max="2" width="17.7109375" style="1" customWidth="1"/>
    <col min="3" max="3" width="16.42578125" style="1" customWidth="1"/>
    <col min="4" max="4" width="9.42578125" style="5" customWidth="1"/>
    <col min="5" max="5" width="10.28515625" style="5" customWidth="1"/>
    <col min="6" max="6" width="10" style="5" customWidth="1"/>
    <col min="7" max="7" width="1.42578125" style="3" customWidth="1"/>
    <col min="8" max="8" width="10.5703125" style="4" customWidth="1"/>
    <col min="9" max="9" width="10" style="4" customWidth="1"/>
    <col min="10" max="10" width="8.85546875" style="4" customWidth="1"/>
    <col min="11" max="11" width="0.85546875" style="3" customWidth="1"/>
    <col min="12" max="12" width="9.7109375" style="4" customWidth="1"/>
    <col min="13" max="13" width="12.140625" style="4" customWidth="1"/>
    <col min="14" max="14" width="9.5703125" style="4" customWidth="1"/>
    <col min="15" max="15" width="1" style="1" customWidth="1"/>
    <col min="16" max="16" width="10" style="4" customWidth="1"/>
    <col min="17" max="17" width="9.140625" style="4" customWidth="1"/>
    <col min="18" max="18" width="10.42578125" style="4" customWidth="1"/>
    <col min="19" max="16384" width="9.140625" style="1"/>
  </cols>
  <sheetData>
    <row r="1" spans="2:19" ht="15" x14ac:dyDescent="0.25">
      <c r="B1" s="43" t="s">
        <v>53</v>
      </c>
      <c r="C1" s="39"/>
      <c r="D1" s="40"/>
      <c r="E1" s="40"/>
      <c r="F1" s="40"/>
      <c r="G1" s="41"/>
      <c r="H1" s="42"/>
      <c r="I1" s="42"/>
      <c r="J1" s="42"/>
      <c r="K1" s="41"/>
      <c r="L1" s="42"/>
      <c r="M1" s="42"/>
      <c r="N1" s="42"/>
      <c r="O1" s="39"/>
      <c r="P1" s="42"/>
      <c r="Q1" s="42"/>
      <c r="R1" s="42"/>
      <c r="S1" s="6"/>
    </row>
    <row r="2" spans="2:19" ht="12.75" x14ac:dyDescent="0.2">
      <c r="B2" s="6"/>
      <c r="C2" s="6"/>
      <c r="D2" s="11"/>
      <c r="E2" s="11"/>
      <c r="F2" s="11"/>
      <c r="G2" s="12"/>
      <c r="H2" s="31"/>
      <c r="I2" s="31"/>
      <c r="J2" s="31"/>
      <c r="K2" s="12"/>
      <c r="L2" s="31"/>
      <c r="M2" s="31"/>
      <c r="N2" s="31"/>
      <c r="O2" s="6"/>
      <c r="P2" s="31"/>
      <c r="Q2" s="31"/>
      <c r="R2" s="31"/>
      <c r="S2" s="6"/>
    </row>
    <row r="3" spans="2:19" ht="37.5" customHeight="1" x14ac:dyDescent="0.2">
      <c r="B3" s="6"/>
      <c r="C3" s="6"/>
      <c r="D3" s="48" t="s">
        <v>46</v>
      </c>
      <c r="E3" s="48"/>
      <c r="F3" s="48"/>
      <c r="G3" s="22"/>
      <c r="H3" s="48" t="s">
        <v>47</v>
      </c>
      <c r="I3" s="48"/>
      <c r="J3" s="48"/>
      <c r="K3" s="22"/>
      <c r="L3" s="48" t="s">
        <v>48</v>
      </c>
      <c r="M3" s="48"/>
      <c r="N3" s="48"/>
      <c r="O3" s="22"/>
      <c r="P3" s="48" t="s">
        <v>49</v>
      </c>
      <c r="Q3" s="48"/>
      <c r="R3" s="48"/>
      <c r="S3" s="6"/>
    </row>
    <row r="4" spans="2:19" s="2" customFormat="1" ht="13.5" thickBot="1" x14ac:dyDescent="0.25">
      <c r="B4" s="7" t="s">
        <v>8</v>
      </c>
      <c r="C4" s="7"/>
      <c r="D4" s="8" t="s">
        <v>5</v>
      </c>
      <c r="E4" s="8" t="s">
        <v>22</v>
      </c>
      <c r="F4" s="8" t="s">
        <v>23</v>
      </c>
      <c r="G4" s="23"/>
      <c r="H4" s="8" t="s">
        <v>5</v>
      </c>
      <c r="I4" s="8" t="s">
        <v>22</v>
      </c>
      <c r="J4" s="8" t="s">
        <v>23</v>
      </c>
      <c r="K4" s="23"/>
      <c r="L4" s="8" t="s">
        <v>5</v>
      </c>
      <c r="M4" s="8" t="s">
        <v>22</v>
      </c>
      <c r="N4" s="8" t="s">
        <v>23</v>
      </c>
      <c r="O4" s="23"/>
      <c r="P4" s="8" t="s">
        <v>5</v>
      </c>
      <c r="Q4" s="8" t="s">
        <v>22</v>
      </c>
      <c r="R4" s="8" t="s">
        <v>23</v>
      </c>
      <c r="S4" s="38"/>
    </row>
    <row r="5" spans="2:19" ht="12.75" x14ac:dyDescent="0.2">
      <c r="B5" s="9" t="s">
        <v>9</v>
      </c>
      <c r="C5" s="51"/>
      <c r="D5" s="50"/>
      <c r="E5" s="50"/>
      <c r="F5" s="50"/>
      <c r="G5" s="59"/>
      <c r="H5" s="50"/>
      <c r="I5" s="50"/>
      <c r="J5" s="50"/>
      <c r="K5" s="59"/>
      <c r="L5" s="50"/>
      <c r="M5" s="50"/>
      <c r="N5" s="50"/>
      <c r="O5" s="59"/>
      <c r="P5" s="50"/>
      <c r="Q5" s="50"/>
      <c r="R5" s="50"/>
      <c r="S5" s="6"/>
    </row>
    <row r="6" spans="2:19" ht="15" x14ac:dyDescent="0.2">
      <c r="B6" s="10" t="s">
        <v>0</v>
      </c>
      <c r="C6" s="6" t="s">
        <v>20</v>
      </c>
      <c r="D6" s="27">
        <v>97.158730057107675</v>
      </c>
      <c r="E6" s="27">
        <v>95.875735421713159</v>
      </c>
      <c r="F6" s="27">
        <v>98.441724692502191</v>
      </c>
      <c r="G6" s="12"/>
      <c r="H6" s="27">
        <v>96.528320727514881</v>
      </c>
      <c r="I6" s="27">
        <v>95.040294172206657</v>
      </c>
      <c r="J6" s="27">
        <v>98.016347282823105</v>
      </c>
      <c r="K6" s="12"/>
      <c r="L6" s="27">
        <v>97.303427775309416</v>
      </c>
      <c r="M6" s="27">
        <v>96.04919777793603</v>
      </c>
      <c r="N6" s="27">
        <v>98.557657772682802</v>
      </c>
      <c r="O6" s="12"/>
      <c r="P6" s="27">
        <v>96.949773513647798</v>
      </c>
      <c r="Q6" s="27">
        <v>94.731651199596669</v>
      </c>
      <c r="R6" s="27">
        <v>99.167895827698928</v>
      </c>
      <c r="S6" s="6"/>
    </row>
    <row r="7" spans="2:19" ht="15" x14ac:dyDescent="0.2">
      <c r="B7" s="6"/>
      <c r="C7" s="6" t="s">
        <v>21</v>
      </c>
      <c r="D7" s="27">
        <f>-0.00257225924411838*12</f>
        <v>-3.0867110929420558E-2</v>
      </c>
      <c r="E7" s="27">
        <f>-0.038545983662001*12</f>
        <v>-0.46255180394401202</v>
      </c>
      <c r="F7" s="27">
        <f>0.0334014651737643*12</f>
        <v>0.4008175820851716</v>
      </c>
      <c r="G7" s="12"/>
      <c r="H7" s="27">
        <f>0.0277746821315804*12</f>
        <v>0.33329618557896479</v>
      </c>
      <c r="I7" s="27">
        <f>-0.0219690336340952*12</f>
        <v>-0.26362840360914241</v>
      </c>
      <c r="J7" s="27">
        <f>0.077518397897256*12</f>
        <v>0.93022077476707188</v>
      </c>
      <c r="K7" s="12"/>
      <c r="L7" s="27">
        <f>-0.00891648221466061*12</f>
        <v>-0.10699778657592732</v>
      </c>
      <c r="M7" s="27">
        <f>-0.047217835724397*12</f>
        <v>-0.566614028692764</v>
      </c>
      <c r="N7" s="27">
        <f>0.0293848712950758*12</f>
        <v>0.35261845554090959</v>
      </c>
      <c r="O7" s="12"/>
      <c r="P7" s="27">
        <f>-0.0176403330996707*12</f>
        <v>-0.21168399719604841</v>
      </c>
      <c r="Q7" s="27">
        <f>-0.168677196963456*12</f>
        <v>-2.0241263635614724</v>
      </c>
      <c r="R7" s="27">
        <f>0.133396530764115*12</f>
        <v>1.6007583691693801</v>
      </c>
      <c r="S7" s="6"/>
    </row>
    <row r="8" spans="2:19" ht="12.75" x14ac:dyDescent="0.2">
      <c r="B8" s="10" t="s">
        <v>6</v>
      </c>
      <c r="C8" s="6" t="s">
        <v>18</v>
      </c>
      <c r="D8" s="27">
        <v>91.954579487154405</v>
      </c>
      <c r="E8" s="27">
        <v>89.85555627820213</v>
      </c>
      <c r="F8" s="27">
        <v>94.05360269610668</v>
      </c>
      <c r="G8" s="12"/>
      <c r="H8" s="27">
        <v>91.322914990615061</v>
      </c>
      <c r="I8" s="27">
        <v>88.831878080812999</v>
      </c>
      <c r="J8" s="27">
        <v>93.813951900417123</v>
      </c>
      <c r="K8" s="12"/>
      <c r="L8" s="27">
        <v>91.910124368041394</v>
      </c>
      <c r="M8" s="27">
        <v>89.63498805306952</v>
      </c>
      <c r="N8" s="27">
        <v>94.185260683013269</v>
      </c>
      <c r="O8" s="12"/>
      <c r="P8" s="27">
        <v>90.052826471019642</v>
      </c>
      <c r="Q8" s="27">
        <v>87.496806655337949</v>
      </c>
      <c r="R8" s="27">
        <v>92.608846286701336</v>
      </c>
      <c r="S8" s="6"/>
    </row>
    <row r="9" spans="2:19" ht="12.75" x14ac:dyDescent="0.2">
      <c r="B9" s="6"/>
      <c r="C9" s="6" t="s">
        <v>19</v>
      </c>
      <c r="D9" s="27">
        <f>-0.0321764920257527*12</f>
        <v>-0.38611790430903237</v>
      </c>
      <c r="E9" s="27">
        <f>-0.0923957011029751*12</f>
        <v>-1.1087484132357011</v>
      </c>
      <c r="F9" s="27">
        <f>0.0280427170514696*12</f>
        <v>0.33651260461763521</v>
      </c>
      <c r="G9" s="12"/>
      <c r="H9" s="27">
        <f>0.000557614091473668*12</f>
        <v>6.6913690976840154E-3</v>
      </c>
      <c r="I9" s="27">
        <f>-0.0875210542738695*12</f>
        <v>-1.0502526512864341</v>
      </c>
      <c r="J9" s="27">
        <f>0.0886362824568168*12</f>
        <v>1.0636353894818016</v>
      </c>
      <c r="K9" s="12"/>
      <c r="L9" s="27">
        <f>-0.0236415570354712*12</f>
        <v>-0.28369868442565438</v>
      </c>
      <c r="M9" s="27">
        <f>-0.0929848756114123*12</f>
        <v>-1.1158185073369475</v>
      </c>
      <c r="N9" s="27">
        <f>0.04570176154047*12</f>
        <v>0.54842113848564</v>
      </c>
      <c r="O9" s="12"/>
      <c r="P9" s="27">
        <f>-0.0386291548505997*12</f>
        <v>-0.46354985820719641</v>
      </c>
      <c r="Q9" s="27">
        <f>-0.213494271559265*12</f>
        <v>-2.56193125871118</v>
      </c>
      <c r="R9" s="27">
        <f>0.136235961858065*12</f>
        <v>1.6348315422967801</v>
      </c>
      <c r="S9" s="6"/>
    </row>
    <row r="10" spans="2:19" ht="12.75" x14ac:dyDescent="0.2">
      <c r="B10" s="18" t="s">
        <v>10</v>
      </c>
      <c r="C10" s="19" t="s">
        <v>18</v>
      </c>
      <c r="D10" s="29">
        <v>95.504642496220441</v>
      </c>
      <c r="E10" s="29">
        <v>94.150330466603322</v>
      </c>
      <c r="F10" s="29">
        <v>96.858954525837561</v>
      </c>
      <c r="G10" s="20"/>
      <c r="H10" s="29">
        <v>94.932137123010023</v>
      </c>
      <c r="I10" s="29">
        <v>93.404764500836009</v>
      </c>
      <c r="J10" s="29">
        <v>96.459509745184036</v>
      </c>
      <c r="K10" s="20"/>
      <c r="L10" s="29">
        <v>95.520399466698905</v>
      </c>
      <c r="M10" s="29">
        <v>94.174103633726489</v>
      </c>
      <c r="N10" s="29">
        <v>96.866695299671321</v>
      </c>
      <c r="O10" s="20"/>
      <c r="P10" s="29">
        <v>95.898698963823151</v>
      </c>
      <c r="Q10" s="29">
        <v>93.660862392921786</v>
      </c>
      <c r="R10" s="29">
        <v>98.136535534724516</v>
      </c>
      <c r="S10" s="6"/>
    </row>
    <row r="11" spans="2:19" ht="12.75" x14ac:dyDescent="0.2">
      <c r="B11" s="13"/>
      <c r="C11" s="13" t="s">
        <v>19</v>
      </c>
      <c r="D11" s="24">
        <f>0.0128881715559343*12</f>
        <v>0.1546580586712116</v>
      </c>
      <c r="E11" s="24">
        <f>-0.0241779844777918*12</f>
        <v>-0.29013581373350161</v>
      </c>
      <c r="F11" s="24">
        <f>0.0499543275896604*12</f>
        <v>0.59945193107592476</v>
      </c>
      <c r="G11" s="14"/>
      <c r="H11" s="24">
        <f>0.0402969517576834*12</f>
        <v>0.4835634210922008</v>
      </c>
      <c r="I11" s="24">
        <f>-0.0107258266194317*12</f>
        <v>-0.12870991943318039</v>
      </c>
      <c r="J11" s="24">
        <f>0.0913197301347984*12</f>
        <v>1.0958367616175808</v>
      </c>
      <c r="K11" s="14"/>
      <c r="L11" s="24">
        <f>0.0132569565256119*12</f>
        <v>0.15908347830734279</v>
      </c>
      <c r="M11" s="24">
        <f>-0.0258061526750929*12</f>
        <v>-0.30967383210111482</v>
      </c>
      <c r="N11" s="24">
        <f>0.0523200657263167*12</f>
        <v>0.6278407887158004</v>
      </c>
      <c r="O11" s="14"/>
      <c r="P11" s="24">
        <f>-0.0100850283354282*12</f>
        <v>-0.1210203400251384</v>
      </c>
      <c r="Q11" s="24">
        <f>-0.159004375528452*12</f>
        <v>-1.908052506341424</v>
      </c>
      <c r="R11" s="24">
        <f>0.138834318857595*12</f>
        <v>1.6660118262911401</v>
      </c>
      <c r="S11" s="6"/>
    </row>
    <row r="12" spans="2:19" ht="12.75" x14ac:dyDescent="0.2">
      <c r="B12" s="15" t="s">
        <v>11</v>
      </c>
      <c r="C12" s="6" t="s">
        <v>18</v>
      </c>
      <c r="D12" s="27">
        <v>94.692325459617834</v>
      </c>
      <c r="E12" s="27">
        <v>93.114102972681735</v>
      </c>
      <c r="F12" s="27">
        <v>96.270547946553933</v>
      </c>
      <c r="G12" s="12"/>
      <c r="H12" s="27">
        <v>94.425329469463037</v>
      </c>
      <c r="I12" s="27">
        <v>92.452148453693439</v>
      </c>
      <c r="J12" s="27">
        <v>96.398510485232634</v>
      </c>
      <c r="K12" s="12"/>
      <c r="L12" s="27">
        <v>94.709989205327318</v>
      </c>
      <c r="M12" s="27">
        <v>93.109313216792359</v>
      </c>
      <c r="N12" s="27">
        <v>96.310665193862278</v>
      </c>
      <c r="O12" s="12"/>
      <c r="P12" s="27">
        <v>94.010855646731443</v>
      </c>
      <c r="Q12" s="27">
        <v>92.062695143147891</v>
      </c>
      <c r="R12" s="27">
        <v>95.959016150314994</v>
      </c>
      <c r="S12" s="6"/>
    </row>
    <row r="13" spans="2:19" ht="12.75" x14ac:dyDescent="0.2">
      <c r="B13" s="13"/>
      <c r="C13" s="13" t="s">
        <v>19</v>
      </c>
      <c r="D13" s="24">
        <f>0.0106166250740828*12</f>
        <v>0.1273995008889936</v>
      </c>
      <c r="E13" s="24">
        <f>-0.0320406144350417*12</f>
        <v>-0.38448737322050042</v>
      </c>
      <c r="F13" s="24">
        <f>0.0532738645832072*12</f>
        <v>0.6392863749984864</v>
      </c>
      <c r="G13" s="14"/>
      <c r="H13" s="24">
        <f>0.0239399482940123*12</f>
        <v>0.28727937952814758</v>
      </c>
      <c r="I13" s="24">
        <f>-0.0432561244077395*12</f>
        <v>-0.51907349289287397</v>
      </c>
      <c r="J13" s="24">
        <f>0.0911360209957642*12</f>
        <v>1.0936322519491704</v>
      </c>
      <c r="K13" s="14"/>
      <c r="L13" s="24">
        <f>0.0156154975168709*12</f>
        <v>0.18738597020245079</v>
      </c>
      <c r="M13" s="24">
        <f>-0.029538810693839*12</f>
        <v>-0.35446572832606799</v>
      </c>
      <c r="N13" s="24">
        <f>0.0607698057275809*12</f>
        <v>0.72923766873097084</v>
      </c>
      <c r="O13" s="14"/>
      <c r="P13" s="24">
        <f>0.0554476134199679*12</f>
        <v>0.66537136103961481</v>
      </c>
      <c r="Q13" s="24">
        <f>-0.0725859565349423*12</f>
        <v>-0.87103147841930761</v>
      </c>
      <c r="R13" s="24">
        <f>0.183481183374878*12</f>
        <v>2.2017742004985363</v>
      </c>
      <c r="S13" s="6"/>
    </row>
    <row r="14" spans="2:19" ht="15" x14ac:dyDescent="0.2">
      <c r="B14" s="16" t="s">
        <v>12</v>
      </c>
      <c r="C14" s="52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  <c r="S14" s="6"/>
    </row>
    <row r="15" spans="2:19" ht="12.75" x14ac:dyDescent="0.2">
      <c r="B15" s="10" t="s">
        <v>1</v>
      </c>
      <c r="C15" s="6" t="s">
        <v>18</v>
      </c>
      <c r="D15" s="27">
        <v>95.483133874363929</v>
      </c>
      <c r="E15" s="27">
        <v>94.002947531092744</v>
      </c>
      <c r="F15" s="27">
        <v>96.963320217635115</v>
      </c>
      <c r="G15" s="12"/>
      <c r="H15" s="27">
        <v>94.562819269914939</v>
      </c>
      <c r="I15" s="27">
        <v>93.001581354269916</v>
      </c>
      <c r="J15" s="27">
        <v>96.124057185559963</v>
      </c>
      <c r="K15" s="12"/>
      <c r="L15" s="27">
        <v>95.878096261172658</v>
      </c>
      <c r="M15" s="27">
        <v>94.481540100569035</v>
      </c>
      <c r="N15" s="27">
        <v>97.274652421776281</v>
      </c>
      <c r="O15" s="12"/>
      <c r="P15" s="27">
        <v>97.268800287635173</v>
      </c>
      <c r="Q15" s="27">
        <v>94.802021607075261</v>
      </c>
      <c r="R15" s="27">
        <v>99.735578968195085</v>
      </c>
      <c r="S15" s="6"/>
    </row>
    <row r="16" spans="2:19" ht="12.75" x14ac:dyDescent="0.2">
      <c r="B16" s="6"/>
      <c r="C16" s="6" t="s">
        <v>19</v>
      </c>
      <c r="D16" s="27">
        <f>0.0156573756935969*12</f>
        <v>0.18788850832316278</v>
      </c>
      <c r="E16" s="27">
        <f>-0.0253676855033826*12</f>
        <v>-0.30441222604059121</v>
      </c>
      <c r="F16" s="27">
        <f>0.0566824368905765*12</f>
        <v>0.68018924268691794</v>
      </c>
      <c r="G16" s="12"/>
      <c r="H16" s="28">
        <f>0.060450928439329*12</f>
        <v>0.72541114127194795</v>
      </c>
      <c r="I16" s="27">
        <f>0.0110349545285087*12</f>
        <v>0.13241945434210439</v>
      </c>
      <c r="J16" s="27">
        <f>0.109866902350149*12</f>
        <v>1.3184028282017879</v>
      </c>
      <c r="K16" s="12"/>
      <c r="L16" s="27">
        <f>-0.0119327083382744*12</f>
        <v>-0.14319250005929279</v>
      </c>
      <c r="M16" s="27">
        <f>-0.0558289944194662*12</f>
        <v>-0.66994793303359434</v>
      </c>
      <c r="N16" s="27">
        <f>0.0319635777429173*12</f>
        <v>0.38356293291500754</v>
      </c>
      <c r="O16" s="12"/>
      <c r="P16" s="27">
        <f>-0.0956366131883468*12</f>
        <v>-1.1476393582601616</v>
      </c>
      <c r="Q16" s="27">
        <f>-0.281360526820447*12</f>
        <v>-3.3763263218453639</v>
      </c>
      <c r="R16" s="27">
        <f>0.0900873004437533*12</f>
        <v>1.0810476053250395</v>
      </c>
      <c r="S16" s="6"/>
    </row>
    <row r="17" spans="2:20" ht="12.75" x14ac:dyDescent="0.2">
      <c r="B17" s="10" t="s">
        <v>2</v>
      </c>
      <c r="C17" s="6" t="s">
        <v>18</v>
      </c>
      <c r="D17" s="27">
        <v>88.671754302385835</v>
      </c>
      <c r="E17" s="27">
        <v>86.376552770278181</v>
      </c>
      <c r="F17" s="27">
        <v>90.96695583449349</v>
      </c>
      <c r="G17" s="12"/>
      <c r="H17" s="27">
        <v>89.332171548813264</v>
      </c>
      <c r="I17" s="27">
        <v>86.75688879401963</v>
      </c>
      <c r="J17" s="27">
        <v>91.907454303606897</v>
      </c>
      <c r="K17" s="12"/>
      <c r="L17" s="27">
        <v>88.630317016498864</v>
      </c>
      <c r="M17" s="27">
        <v>86.236005024548007</v>
      </c>
      <c r="N17" s="27">
        <v>91.024629008449722</v>
      </c>
      <c r="O17" s="12"/>
      <c r="P17" s="27">
        <v>85.39634045889882</v>
      </c>
      <c r="Q17" s="27">
        <v>81.638562860076732</v>
      </c>
      <c r="R17" s="27">
        <v>89.154118057720908</v>
      </c>
      <c r="S17" s="6"/>
    </row>
    <row r="18" spans="2:20" ht="12.75" x14ac:dyDescent="0.2">
      <c r="B18" s="13"/>
      <c r="C18" s="13" t="s">
        <v>19</v>
      </c>
      <c r="D18" s="24">
        <f>-0.0536245122730503*12</f>
        <v>-0.64349414727660359</v>
      </c>
      <c r="E18" s="24">
        <f>-0.118966796314022*12</f>
        <v>-1.427601555768264</v>
      </c>
      <c r="F18" s="24">
        <f>0.0117177717679218*12</f>
        <v>0.1406132612150616</v>
      </c>
      <c r="G18" s="14"/>
      <c r="H18" s="24">
        <f>-0.094427293522461*12</f>
        <v>-1.1331275222695321</v>
      </c>
      <c r="I18" s="24">
        <f>-0.189979399424214*12</f>
        <v>-2.2797527930905677</v>
      </c>
      <c r="J18" s="24">
        <f>0.00112481237929215*12</f>
        <v>1.34977485515058E-2</v>
      </c>
      <c r="K18" s="14"/>
      <c r="L18" s="24">
        <f>-0.0426459284576197*12</f>
        <v>-0.51175114149143641</v>
      </c>
      <c r="M18" s="24">
        <f>-0.11485952250415*12</f>
        <v>-1.3783142700498001</v>
      </c>
      <c r="N18" s="24">
        <f>0.0295676655889108*12</f>
        <v>0.35481198706692957</v>
      </c>
      <c r="O18" s="14"/>
      <c r="P18" s="24">
        <f>0.0503543432026898*12</f>
        <v>0.60425211843227755</v>
      </c>
      <c r="Q18" s="24">
        <f>-0.202623572144864*12</f>
        <v>-2.431482865738368</v>
      </c>
      <c r="R18" s="24">
        <f>0.303332258550244*12</f>
        <v>3.6399871026029276</v>
      </c>
      <c r="S18" s="6"/>
    </row>
    <row r="19" spans="2:20" ht="12.75" x14ac:dyDescent="0.2">
      <c r="B19" s="16" t="s">
        <v>13</v>
      </c>
      <c r="C19" s="52"/>
      <c r="D19" s="47"/>
      <c r="E19" s="47"/>
      <c r="F19" s="47"/>
      <c r="G19" s="46"/>
      <c r="H19" s="47"/>
      <c r="I19" s="47"/>
      <c r="J19" s="47"/>
      <c r="K19" s="46"/>
      <c r="L19" s="47"/>
      <c r="M19" s="47"/>
      <c r="N19" s="47"/>
      <c r="O19" s="46"/>
      <c r="P19" s="47"/>
      <c r="Q19" s="47"/>
      <c r="R19" s="47"/>
      <c r="S19" s="6"/>
    </row>
    <row r="20" spans="2:20" ht="12.75" x14ac:dyDescent="0.2">
      <c r="B20" s="10" t="s">
        <v>14</v>
      </c>
      <c r="C20" s="6" t="s">
        <v>18</v>
      </c>
      <c r="D20" s="32"/>
      <c r="E20" s="32"/>
      <c r="F20" s="32"/>
      <c r="G20" s="33"/>
      <c r="H20" s="32"/>
      <c r="I20" s="32"/>
      <c r="J20" s="32"/>
      <c r="K20" s="33"/>
      <c r="L20" s="32"/>
      <c r="M20" s="32"/>
      <c r="N20" s="32"/>
      <c r="O20" s="33"/>
      <c r="P20" s="32"/>
      <c r="Q20" s="32"/>
      <c r="R20" s="32"/>
      <c r="S20" s="6"/>
    </row>
    <row r="21" spans="2:20" ht="12.75" x14ac:dyDescent="0.2">
      <c r="B21" s="6"/>
      <c r="C21" s="6" t="s">
        <v>19</v>
      </c>
      <c r="D21" s="32"/>
      <c r="E21" s="32"/>
      <c r="F21" s="32"/>
      <c r="G21" s="33"/>
      <c r="H21" s="32"/>
      <c r="I21" s="32"/>
      <c r="J21" s="32"/>
      <c r="K21" s="33"/>
      <c r="L21" s="32"/>
      <c r="M21" s="32"/>
      <c r="N21" s="32"/>
      <c r="O21" s="33"/>
      <c r="P21" s="32"/>
      <c r="Q21" s="32"/>
      <c r="R21" s="32"/>
      <c r="S21" s="6"/>
    </row>
    <row r="22" spans="2:20" ht="12.75" x14ac:dyDescent="0.2">
      <c r="B22" s="10" t="s">
        <v>0</v>
      </c>
      <c r="C22" s="6" t="s">
        <v>18</v>
      </c>
      <c r="D22" s="27">
        <v>91.930575561906991</v>
      </c>
      <c r="E22" s="27">
        <v>90.356335273159544</v>
      </c>
      <c r="F22" s="27">
        <v>93.504815850654438</v>
      </c>
      <c r="G22" s="12"/>
      <c r="H22" s="27">
        <v>91.501205668949254</v>
      </c>
      <c r="I22" s="27">
        <v>89.653230339460961</v>
      </c>
      <c r="J22" s="27">
        <v>93.349180998437546</v>
      </c>
      <c r="K22" s="12"/>
      <c r="L22" s="27">
        <v>91.916292583114412</v>
      </c>
      <c r="M22" s="27">
        <v>90.41695607280154</v>
      </c>
      <c r="N22" s="27">
        <v>93.415629093427285</v>
      </c>
      <c r="O22" s="12"/>
      <c r="P22" s="27">
        <v>94.546689875808639</v>
      </c>
      <c r="Q22" s="27">
        <v>92.195847102626075</v>
      </c>
      <c r="R22" s="27">
        <v>96.897532648991202</v>
      </c>
      <c r="S22" s="6"/>
    </row>
    <row r="23" spans="2:20" ht="12.75" x14ac:dyDescent="0.2">
      <c r="B23" s="13"/>
      <c r="C23" s="13" t="s">
        <v>19</v>
      </c>
      <c r="D23" s="30">
        <f>0.0678465465195105*12</f>
        <v>0.81415855823412597</v>
      </c>
      <c r="E23" s="24">
        <f>0.0273867746067893*12</f>
        <v>0.32864129528147157</v>
      </c>
      <c r="F23" s="24">
        <f>0.108306318432232*12</f>
        <v>1.299675821186784</v>
      </c>
      <c r="G23" s="14"/>
      <c r="H23" s="30">
        <f>0.0890303916326064*12</f>
        <v>1.0683646995912768</v>
      </c>
      <c r="I23" s="24">
        <f>0.0286435965371056*12</f>
        <v>0.34372315844526719</v>
      </c>
      <c r="J23" s="24">
        <f>0.149417186728107*12</f>
        <v>1.793006240737284</v>
      </c>
      <c r="K23" s="14"/>
      <c r="L23" s="30">
        <f>0.0667705903293482*12</f>
        <v>0.80124708395217847</v>
      </c>
      <c r="M23" s="24">
        <f>0.0268790873370607*12</f>
        <v>0.32254904804472839</v>
      </c>
      <c r="N23" s="24">
        <f>0.106662093321636*12</f>
        <v>1.2799451198596319</v>
      </c>
      <c r="O23" s="14"/>
      <c r="P23" s="24">
        <f>0.044258026719269*12</f>
        <v>0.53109632063122802</v>
      </c>
      <c r="Q23" s="24">
        <f>-0.104429096488417*12</f>
        <v>-1.2531491578610039</v>
      </c>
      <c r="R23" s="24">
        <f>0.192945149926955*12</f>
        <v>2.3153417991234599</v>
      </c>
      <c r="S23" s="6"/>
      <c r="T23" s="4"/>
    </row>
    <row r="24" spans="2:20" ht="12.75" x14ac:dyDescent="0.2">
      <c r="B24" s="15" t="s">
        <v>15</v>
      </c>
      <c r="C24" s="6" t="s">
        <v>18</v>
      </c>
      <c r="D24" s="27">
        <v>93.452448689476967</v>
      </c>
      <c r="E24" s="27">
        <v>91.71763684159734</v>
      </c>
      <c r="F24" s="27">
        <v>95.187260537356593</v>
      </c>
      <c r="G24" s="12"/>
      <c r="H24" s="27">
        <v>92.970567456102557</v>
      </c>
      <c r="I24" s="27">
        <v>91.278411934669521</v>
      </c>
      <c r="J24" s="27">
        <v>94.662722977535594</v>
      </c>
      <c r="K24" s="12"/>
      <c r="L24" s="27">
        <v>93.58870776208083</v>
      </c>
      <c r="M24" s="27">
        <v>91.797951048754157</v>
      </c>
      <c r="N24" s="27">
        <v>95.379464475407502</v>
      </c>
      <c r="O24" s="12"/>
      <c r="P24" s="27">
        <v>95.221512072749078</v>
      </c>
      <c r="Q24" s="27">
        <v>92.508192791530689</v>
      </c>
      <c r="R24" s="27">
        <v>97.934831353967468</v>
      </c>
      <c r="S24" s="6"/>
    </row>
    <row r="25" spans="2:20" ht="12.75" x14ac:dyDescent="0.2">
      <c r="B25" s="13"/>
      <c r="C25" s="13" t="s">
        <v>19</v>
      </c>
      <c r="D25" s="24">
        <f>0.0343896679938741*12</f>
        <v>0.41267601592648917</v>
      </c>
      <c r="E25" s="24">
        <f>-0.0104227794382988*12</f>
        <v>-0.1250733532595856</v>
      </c>
      <c r="F25" s="24">
        <f>0.0792021154260471*12</f>
        <v>0.95042538511256525</v>
      </c>
      <c r="G25" s="14"/>
      <c r="H25" s="30">
        <f>0.056578248915916*12</f>
        <v>0.67893898699099198</v>
      </c>
      <c r="I25" s="24">
        <f>0.00365557581046578*12</f>
        <v>4.3866909725589362E-2</v>
      </c>
      <c r="J25" s="24">
        <f>0.109500922021366*12</f>
        <v>1.314011064256392</v>
      </c>
      <c r="K25" s="14"/>
      <c r="L25" s="24">
        <f>0.0237414417226952*12</f>
        <v>0.28489730067234242</v>
      </c>
      <c r="M25" s="24">
        <f>-0.0253074232074506*12</f>
        <v>-0.30368907848940718</v>
      </c>
      <c r="N25" s="24">
        <f>0.072790306652841*12</f>
        <v>0.87348367983409203</v>
      </c>
      <c r="O25" s="14"/>
      <c r="P25" s="24">
        <f>-0.00337861866421683*12</f>
        <v>-4.0543423970601955E-2</v>
      </c>
      <c r="Q25" s="24">
        <f>-0.189652365462752*12</f>
        <v>-2.2758283855530239</v>
      </c>
      <c r="R25" s="24">
        <f>0.182895128134318*12</f>
        <v>2.194741537611816</v>
      </c>
      <c r="S25" s="6"/>
    </row>
    <row r="26" spans="2:20" ht="12.75" x14ac:dyDescent="0.2">
      <c r="B26" s="16" t="s">
        <v>3</v>
      </c>
      <c r="C26" s="52"/>
      <c r="D26" s="47"/>
      <c r="E26" s="47"/>
      <c r="F26" s="47"/>
      <c r="G26" s="46"/>
      <c r="H26" s="47"/>
      <c r="I26" s="47"/>
      <c r="J26" s="47"/>
      <c r="K26" s="46"/>
      <c r="L26" s="47"/>
      <c r="M26" s="47"/>
      <c r="N26" s="47"/>
      <c r="O26" s="46"/>
      <c r="P26" s="47"/>
      <c r="Q26" s="47"/>
      <c r="R26" s="47"/>
      <c r="S26" s="6"/>
    </row>
    <row r="27" spans="2:20" ht="12.75" x14ac:dyDescent="0.2">
      <c r="B27" s="10" t="s">
        <v>0</v>
      </c>
      <c r="C27" s="6" t="s">
        <v>18</v>
      </c>
      <c r="D27" s="27">
        <v>94.475971772815328</v>
      </c>
      <c r="E27" s="27">
        <v>93.017324596772241</v>
      </c>
      <c r="F27" s="27">
        <v>95.934618948858414</v>
      </c>
      <c r="G27" s="12"/>
      <c r="H27" s="27">
        <v>93.980703234050509</v>
      </c>
      <c r="I27" s="27">
        <v>92.342805256503183</v>
      </c>
      <c r="J27" s="27">
        <v>95.618601211597834</v>
      </c>
      <c r="K27" s="12"/>
      <c r="L27" s="27">
        <v>94.578069842421272</v>
      </c>
      <c r="M27" s="27">
        <v>93.151797168809495</v>
      </c>
      <c r="N27" s="27">
        <v>96.004342516033049</v>
      </c>
      <c r="O27" s="12"/>
      <c r="P27" s="27">
        <v>95.45273918490534</v>
      </c>
      <c r="Q27" s="27">
        <v>93.112766882284959</v>
      </c>
      <c r="R27" s="27">
        <v>97.792711487525722</v>
      </c>
      <c r="S27" s="6"/>
    </row>
    <row r="28" spans="2:20" ht="12.75" x14ac:dyDescent="0.2">
      <c r="B28" s="10"/>
      <c r="C28" s="6" t="s">
        <v>19</v>
      </c>
      <c r="D28" s="27">
        <f>0.0041810096139212*12</f>
        <v>5.0172115367054397E-2</v>
      </c>
      <c r="E28" s="27">
        <f>-0.0360257086987455*12</f>
        <v>-0.43230850438494606</v>
      </c>
      <c r="F28" s="27">
        <f>0.0443877279265879*12</f>
        <v>0.53265273511905475</v>
      </c>
      <c r="G28" s="12"/>
      <c r="H28" s="27">
        <f>0.0308157752110473*12</f>
        <v>0.36978930253256759</v>
      </c>
      <c r="I28" s="27">
        <f>-0.0239352974828666*12</f>
        <v>-0.28722356979439917</v>
      </c>
      <c r="J28" s="27">
        <f>0.0855668479049613*12</f>
        <v>1.0268021748595357</v>
      </c>
      <c r="K28" s="12"/>
      <c r="L28" s="27">
        <f>-0.00657762896132451*12</f>
        <v>-7.8931547535894125E-2</v>
      </c>
      <c r="M28" s="27">
        <f>-0.0492878952701357*12</f>
        <v>-0.59145474324162839</v>
      </c>
      <c r="N28" s="27">
        <f>0.0361326373474867*12</f>
        <v>0.43359164816984042</v>
      </c>
      <c r="O28" s="12"/>
      <c r="P28" s="27">
        <f>-0.063913571908918*12</f>
        <v>-0.76696286290701599</v>
      </c>
      <c r="Q28" s="27">
        <f>-0.228991388522582*12</f>
        <v>-2.7478966622709837</v>
      </c>
      <c r="R28" s="27">
        <f>0.101164244704746*12</f>
        <v>1.213970936456952</v>
      </c>
      <c r="S28" s="6"/>
    </row>
    <row r="29" spans="2:20" ht="12.75" x14ac:dyDescent="0.2">
      <c r="B29" s="10" t="s">
        <v>6</v>
      </c>
      <c r="C29" s="6" t="s">
        <v>18</v>
      </c>
      <c r="D29" s="27">
        <v>85.827099410391227</v>
      </c>
      <c r="E29" s="27">
        <v>83.568886580892027</v>
      </c>
      <c r="F29" s="27">
        <v>88.085312239890428</v>
      </c>
      <c r="G29" s="12"/>
      <c r="H29" s="27">
        <v>86.130472463460208</v>
      </c>
      <c r="I29" s="27">
        <v>83.801154659631266</v>
      </c>
      <c r="J29" s="27">
        <v>88.459790267289151</v>
      </c>
      <c r="K29" s="12"/>
      <c r="L29" s="27">
        <v>85.89756529610861</v>
      </c>
      <c r="M29" s="27">
        <v>83.456680508527711</v>
      </c>
      <c r="N29" s="27">
        <v>88.338450083689509</v>
      </c>
      <c r="O29" s="12"/>
      <c r="P29" s="27">
        <v>85.133166832616411</v>
      </c>
      <c r="Q29" s="27">
        <v>81.261340580541116</v>
      </c>
      <c r="R29" s="27">
        <v>89.004993084691705</v>
      </c>
      <c r="S29" s="6"/>
    </row>
    <row r="30" spans="2:20" ht="12.75" x14ac:dyDescent="0.2">
      <c r="B30" s="13"/>
      <c r="C30" s="13" t="s">
        <v>19</v>
      </c>
      <c r="D30" s="24">
        <f>0.00545443257435476*12</f>
        <v>6.5453190892257124E-2</v>
      </c>
      <c r="E30" s="24">
        <f>-0.0568659224658722*12</f>
        <v>-0.68239106959046647</v>
      </c>
      <c r="F30" s="24">
        <f>0.0677747876145817*12</f>
        <v>0.81329745137498033</v>
      </c>
      <c r="G30" s="14"/>
      <c r="H30" s="24">
        <f>-0.0100455050403912*12</f>
        <v>-0.12054606048469441</v>
      </c>
      <c r="I30" s="24">
        <f>-0.0927765183235243*12</f>
        <v>-1.1133182198822917</v>
      </c>
      <c r="J30" s="24">
        <f>0.0726855082427419*12</f>
        <v>0.87222609891290293</v>
      </c>
      <c r="K30" s="14"/>
      <c r="L30" s="24">
        <f>0.00184155065486681*12</f>
        <v>2.2098607858401721E-2</v>
      </c>
      <c r="M30" s="24">
        <f>-0.0694490255575317*12</f>
        <v>-0.83338830669038044</v>
      </c>
      <c r="N30" s="24">
        <f>0.0731321268672653*12</f>
        <v>0.87758552240718368</v>
      </c>
      <c r="O30" s="14"/>
      <c r="P30" s="24">
        <f>0.0855385822842733*12</f>
        <v>1.0264629874112796</v>
      </c>
      <c r="Q30" s="24">
        <f>-0.169955706747654*12</f>
        <v>-2.039468480971848</v>
      </c>
      <c r="R30" s="24">
        <f>0.341032871316201*12</f>
        <v>4.0923944557944125</v>
      </c>
      <c r="S30" s="6"/>
    </row>
    <row r="31" spans="2:20" ht="12.75" x14ac:dyDescent="0.2">
      <c r="B31" s="16" t="s">
        <v>16</v>
      </c>
      <c r="C31" s="52"/>
      <c r="D31" s="47"/>
      <c r="E31" s="47"/>
      <c r="F31" s="47"/>
      <c r="G31" s="46"/>
      <c r="H31" s="47"/>
      <c r="I31" s="47"/>
      <c r="J31" s="47"/>
      <c r="K31" s="46"/>
      <c r="L31" s="47"/>
      <c r="M31" s="47"/>
      <c r="N31" s="47"/>
      <c r="O31" s="46"/>
      <c r="P31" s="47"/>
      <c r="Q31" s="47"/>
      <c r="R31" s="47"/>
      <c r="S31" s="6"/>
    </row>
    <row r="32" spans="2:20" ht="12.75" x14ac:dyDescent="0.2">
      <c r="B32" s="10" t="s">
        <v>35</v>
      </c>
      <c r="C32" s="6" t="s">
        <v>18</v>
      </c>
      <c r="D32" s="27">
        <v>85.438824481822081</v>
      </c>
      <c r="E32" s="27">
        <v>83.008667349004682</v>
      </c>
      <c r="F32" s="27">
        <v>87.86898161463948</v>
      </c>
      <c r="G32" s="12"/>
      <c r="H32" s="27">
        <v>84.697092131130304</v>
      </c>
      <c r="I32" s="27">
        <v>81.928107832800507</v>
      </c>
      <c r="J32" s="27">
        <v>87.466076429460102</v>
      </c>
      <c r="K32" s="12"/>
      <c r="L32" s="27">
        <v>85.781804326142392</v>
      </c>
      <c r="M32" s="27">
        <v>83.46372002203023</v>
      </c>
      <c r="N32" s="27">
        <v>88.099888630254554</v>
      </c>
      <c r="O32" s="12"/>
      <c r="P32" s="27">
        <v>89.614374250836761</v>
      </c>
      <c r="Q32" s="27">
        <v>85.464077561516504</v>
      </c>
      <c r="R32" s="27">
        <v>93.764670940157018</v>
      </c>
      <c r="S32" s="6"/>
    </row>
    <row r="33" spans="2:19" ht="12.75" x14ac:dyDescent="0.2">
      <c r="B33" s="6"/>
      <c r="C33" s="6" t="s">
        <v>19</v>
      </c>
      <c r="D33" s="28">
        <f>0.128149916065747*12</f>
        <v>1.5377989927889639</v>
      </c>
      <c r="E33" s="27">
        <f>0.0662419391683413*12</f>
        <v>0.79490327002009553</v>
      </c>
      <c r="F33" s="27">
        <f>0.190057892963153*12</f>
        <v>2.2806947155578361</v>
      </c>
      <c r="G33" s="12"/>
      <c r="H33" s="28">
        <f>0.16460382934887*12</f>
        <v>1.9752459521864401</v>
      </c>
      <c r="I33" s="27">
        <f>0.0750675039556289*12</f>
        <v>0.90081004746754689</v>
      </c>
      <c r="J33" s="27">
        <f>0.25414015474211*12</f>
        <v>3.0496818569053197</v>
      </c>
      <c r="K33" s="12"/>
      <c r="L33" s="28">
        <f>0.111653003315738*12</f>
        <v>1.339836039788856</v>
      </c>
      <c r="M33" s="27">
        <f>0.0499929264745637*12</f>
        <v>0.59991511769476435</v>
      </c>
      <c r="N33" s="27">
        <f>0.173313080156912*12</f>
        <v>2.0797569618829437</v>
      </c>
      <c r="O33" s="12"/>
      <c r="P33" s="27">
        <f>0.154234411721863*12</f>
        <v>1.8508129406623559</v>
      </c>
      <c r="Q33" s="27">
        <f>-0.109071906822501*12</f>
        <v>-1.3088628818700119</v>
      </c>
      <c r="R33" s="27">
        <f>0.417540730266227*12</f>
        <v>5.0104887631947239</v>
      </c>
      <c r="S33" s="6"/>
    </row>
    <row r="34" spans="2:19" ht="12.75" x14ac:dyDescent="0.2">
      <c r="B34" s="10" t="s">
        <v>4</v>
      </c>
      <c r="C34" s="6" t="s">
        <v>18</v>
      </c>
      <c r="D34" s="27">
        <v>66.605081797852819</v>
      </c>
      <c r="E34" s="27">
        <v>63.139360358573171</v>
      </c>
      <c r="F34" s="27">
        <v>70.070803237132466</v>
      </c>
      <c r="G34" s="12"/>
      <c r="H34" s="27">
        <v>67.433748088846869</v>
      </c>
      <c r="I34" s="27">
        <v>63.591145572447616</v>
      </c>
      <c r="J34" s="27">
        <v>71.276350605246122</v>
      </c>
      <c r="K34" s="12"/>
      <c r="L34" s="27">
        <v>66.343386692737994</v>
      </c>
      <c r="M34" s="27">
        <v>62.737402491391684</v>
      </c>
      <c r="N34" s="27">
        <v>69.949370894084311</v>
      </c>
      <c r="O34" s="12"/>
      <c r="P34" s="27">
        <v>75.62204090225741</v>
      </c>
      <c r="Q34" s="27">
        <v>70.318954858830097</v>
      </c>
      <c r="R34" s="27">
        <v>80.925126945684724</v>
      </c>
      <c r="S34" s="6"/>
    </row>
    <row r="35" spans="2:19" ht="12.75" x14ac:dyDescent="0.2">
      <c r="B35" s="13"/>
      <c r="C35" s="13" t="s">
        <v>19</v>
      </c>
      <c r="D35" s="30">
        <f>0.232145460531098*12</f>
        <v>2.7857455263731761</v>
      </c>
      <c r="E35" s="24">
        <f>0.141351835063221*12</f>
        <v>1.6962220207586518</v>
      </c>
      <c r="F35" s="24">
        <f>0.322939085998976*12</f>
        <v>3.8752690319877123</v>
      </c>
      <c r="G35" s="14"/>
      <c r="H35" s="30">
        <f>0.186618937369129*12</f>
        <v>2.2394272484295481</v>
      </c>
      <c r="I35" s="24">
        <f>0.0512510610302682*12</f>
        <v>0.61501273236321841</v>
      </c>
      <c r="J35" s="24">
        <f>0.321986813707989*12</f>
        <v>3.8638417644958678</v>
      </c>
      <c r="K35" s="14"/>
      <c r="L35" s="30">
        <f>0.245814767885435*12</f>
        <v>2.9497772146252199</v>
      </c>
      <c r="M35" s="24">
        <f>0.149038901237693*12</f>
        <v>1.788466814852316</v>
      </c>
      <c r="N35" s="24">
        <f>0.342590634533177*12</f>
        <v>4.1110876143981239</v>
      </c>
      <c r="O35" s="14"/>
      <c r="P35" s="24">
        <f>0.195821711919971*12</f>
        <v>2.349860543039652</v>
      </c>
      <c r="Q35" s="24">
        <f>-0.142853951785223*12</f>
        <v>-1.7142474214226762</v>
      </c>
      <c r="R35" s="24">
        <f>0.534497375625164*12</f>
        <v>6.4139685075019681</v>
      </c>
      <c r="S35" s="6"/>
    </row>
    <row r="36" spans="2:19" ht="15" x14ac:dyDescent="0.2">
      <c r="B36" s="15" t="s">
        <v>7</v>
      </c>
      <c r="C36" s="6" t="s">
        <v>18</v>
      </c>
      <c r="D36" s="32"/>
      <c r="E36" s="32"/>
      <c r="F36" s="32"/>
      <c r="G36" s="33"/>
      <c r="H36" s="32"/>
      <c r="I36" s="32"/>
      <c r="J36" s="32"/>
      <c r="K36" s="33"/>
      <c r="L36" s="32"/>
      <c r="M36" s="32"/>
      <c r="N36" s="32"/>
      <c r="O36" s="33"/>
      <c r="P36" s="32"/>
      <c r="Q36" s="32"/>
      <c r="R36" s="32"/>
      <c r="S36" s="6"/>
    </row>
    <row r="37" spans="2:19" ht="12.75" x14ac:dyDescent="0.2">
      <c r="B37" s="13"/>
      <c r="C37" s="13" t="s">
        <v>19</v>
      </c>
      <c r="D37" s="34"/>
      <c r="E37" s="34"/>
      <c r="F37" s="34"/>
      <c r="G37" s="35"/>
      <c r="H37" s="34"/>
      <c r="I37" s="34"/>
      <c r="J37" s="34"/>
      <c r="K37" s="35"/>
      <c r="L37" s="34"/>
      <c r="M37" s="34"/>
      <c r="N37" s="34"/>
      <c r="O37" s="35"/>
      <c r="P37" s="34"/>
      <c r="Q37" s="34"/>
      <c r="R37" s="34"/>
      <c r="S37" s="6"/>
    </row>
    <row r="38" spans="2:19" ht="12.75" x14ac:dyDescent="0.2">
      <c r="B38" s="16"/>
      <c r="C38" s="52"/>
      <c r="D38" s="47"/>
      <c r="E38" s="47"/>
      <c r="F38" s="47"/>
      <c r="G38" s="46"/>
      <c r="H38" s="47"/>
      <c r="I38" s="47"/>
      <c r="J38" s="47"/>
      <c r="K38" s="46"/>
      <c r="L38" s="47"/>
      <c r="M38" s="47"/>
      <c r="N38" s="47"/>
      <c r="O38" s="46"/>
      <c r="P38" s="47"/>
      <c r="Q38" s="47"/>
      <c r="R38" s="47"/>
      <c r="S38" s="6"/>
    </row>
    <row r="39" spans="2:19" ht="15" x14ac:dyDescent="0.2">
      <c r="B39" s="44" t="s">
        <v>45</v>
      </c>
      <c r="C39" s="6" t="s">
        <v>18</v>
      </c>
      <c r="D39" s="27">
        <v>73.628540487889012</v>
      </c>
      <c r="E39" s="27">
        <v>70.614101651172447</v>
      </c>
      <c r="F39" s="27">
        <v>76.642979324605577</v>
      </c>
      <c r="G39" s="12"/>
      <c r="H39" s="27">
        <v>73.379330617649103</v>
      </c>
      <c r="I39" s="27">
        <v>70.121141864240684</v>
      </c>
      <c r="J39" s="27">
        <v>76.637519371057522</v>
      </c>
      <c r="K39" s="12"/>
      <c r="L39" s="27">
        <v>73.509565661949736</v>
      </c>
      <c r="M39" s="27">
        <v>70.296388811836209</v>
      </c>
      <c r="N39" s="27">
        <v>76.722742512063263</v>
      </c>
      <c r="O39" s="12"/>
      <c r="P39" s="27">
        <v>76.587102918251418</v>
      </c>
      <c r="Q39" s="27">
        <v>72.161352819631134</v>
      </c>
      <c r="R39" s="27">
        <v>81.012853016871702</v>
      </c>
      <c r="S39" s="6"/>
    </row>
    <row r="40" spans="2:19" ht="12.75" x14ac:dyDescent="0.2">
      <c r="B40" s="13"/>
      <c r="C40" s="13" t="s">
        <v>19</v>
      </c>
      <c r="D40" s="24">
        <f>0.0514110019097683*12</f>
        <v>0.6169320229172196</v>
      </c>
      <c r="E40" s="24">
        <f>-0.0310636847034103*12</f>
        <v>-0.37276421644092361</v>
      </c>
      <c r="F40" s="24">
        <f>0.133885688522947*12</f>
        <v>1.6066282622753638</v>
      </c>
      <c r="G40" s="14"/>
      <c r="H40" s="24">
        <f>0.0684617526521631*12</f>
        <v>0.82154103182595728</v>
      </c>
      <c r="I40" s="24">
        <f>-0.0441858401156484*12</f>
        <v>-0.53023008138778072</v>
      </c>
      <c r="J40" s="24">
        <f>0.181109345419975*12</f>
        <v>2.1733121450396999</v>
      </c>
      <c r="K40" s="14"/>
      <c r="L40" s="24">
        <f>0.046375293172512*12</f>
        <v>0.55650351807014409</v>
      </c>
      <c r="M40" s="24">
        <f>-0.0465467689716405*12</f>
        <v>-0.55856122765968597</v>
      </c>
      <c r="N40" s="24">
        <f>0.139297355316665*12</f>
        <v>1.6715682637999802</v>
      </c>
      <c r="O40" s="14"/>
      <c r="P40" s="24">
        <f>-0.0244785978612131*12</f>
        <v>-0.29374317433455721</v>
      </c>
      <c r="Q40" s="24">
        <f>-0.321642546500375*12</f>
        <v>-3.8597105580045001</v>
      </c>
      <c r="R40" s="24">
        <f>0.272685350777949*12</f>
        <v>3.2722242093353877</v>
      </c>
      <c r="S40" s="6"/>
    </row>
    <row r="41" spans="2:19" ht="12.75" x14ac:dyDescent="0.2">
      <c r="B41" s="6"/>
      <c r="C41" s="6"/>
      <c r="D41" s="11"/>
      <c r="E41" s="11"/>
      <c r="F41" s="11"/>
      <c r="G41" s="12"/>
      <c r="H41" s="31"/>
      <c r="I41" s="31"/>
      <c r="J41" s="31"/>
      <c r="K41" s="12"/>
      <c r="L41" s="31"/>
      <c r="M41" s="31"/>
      <c r="N41" s="31"/>
      <c r="O41" s="6"/>
      <c r="P41" s="31"/>
      <c r="Q41" s="31"/>
      <c r="R41" s="31"/>
      <c r="S41" s="6"/>
    </row>
    <row r="42" spans="2:19" ht="26.25" customHeight="1" x14ac:dyDescent="0.2">
      <c r="B42" s="53" t="s">
        <v>55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6"/>
    </row>
    <row r="43" spans="2:19" ht="12.75" x14ac:dyDescent="0.2">
      <c r="B43" s="54" t="s">
        <v>28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"/>
    </row>
    <row r="44" spans="2:19" ht="12.75" x14ac:dyDescent="0.2">
      <c r="B44" s="54" t="s">
        <v>29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"/>
    </row>
    <row r="45" spans="2:19" ht="14.25" x14ac:dyDescent="0.2">
      <c r="B45" s="54" t="s">
        <v>50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"/>
    </row>
    <row r="46" spans="2:19" ht="14.25" x14ac:dyDescent="0.2">
      <c r="B46" s="54" t="s">
        <v>40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6"/>
    </row>
    <row r="47" spans="2:19" ht="14.25" x14ac:dyDescent="0.2">
      <c r="B47" s="54" t="s">
        <v>41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6"/>
    </row>
    <row r="48" spans="2:19" ht="12.75" x14ac:dyDescent="0.2">
      <c r="B48" s="54" t="s">
        <v>42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6"/>
    </row>
    <row r="49" spans="2:19" ht="14.25" x14ac:dyDescent="0.2">
      <c r="B49" s="54" t="s">
        <v>43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"/>
    </row>
    <row r="50" spans="2:19" ht="25.5" customHeight="1" x14ac:dyDescent="0.2">
      <c r="B50" s="53" t="s">
        <v>44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6"/>
    </row>
    <row r="51" spans="2:19" ht="12.75" x14ac:dyDescent="0.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6"/>
    </row>
    <row r="52" spans="2:19" ht="12.75" x14ac:dyDescent="0.2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"/>
    </row>
    <row r="53" spans="2:19" ht="12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2:19" ht="12" x14ac:dyDescent="0.2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2:19" ht="12" x14ac:dyDescent="0.2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2:19" ht="12" x14ac:dyDescent="0.2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</sheetData>
  <mergeCells count="43">
    <mergeCell ref="C38:F38"/>
    <mergeCell ref="G38:J38"/>
    <mergeCell ref="K38:N38"/>
    <mergeCell ref="O38:R38"/>
    <mergeCell ref="C26:F26"/>
    <mergeCell ref="G26:J26"/>
    <mergeCell ref="K26:N26"/>
    <mergeCell ref="O26:R26"/>
    <mergeCell ref="C31:F31"/>
    <mergeCell ref="G31:J31"/>
    <mergeCell ref="K31:N31"/>
    <mergeCell ref="O31:R31"/>
    <mergeCell ref="C14:F14"/>
    <mergeCell ref="G14:J14"/>
    <mergeCell ref="K14:N14"/>
    <mergeCell ref="O14:R14"/>
    <mergeCell ref="C19:F19"/>
    <mergeCell ref="G19:J19"/>
    <mergeCell ref="K19:N19"/>
    <mergeCell ref="O19:R19"/>
    <mergeCell ref="D3:F3"/>
    <mergeCell ref="H3:J3"/>
    <mergeCell ref="L3:N3"/>
    <mergeCell ref="P3:R3"/>
    <mergeCell ref="C5:F5"/>
    <mergeCell ref="G5:J5"/>
    <mergeCell ref="K5:N5"/>
    <mergeCell ref="O5:R5"/>
    <mergeCell ref="B42:R42"/>
    <mergeCell ref="B43:R43"/>
    <mergeCell ref="B44:R44"/>
    <mergeCell ref="B45:R45"/>
    <mergeCell ref="B46:R46"/>
    <mergeCell ref="B47:R47"/>
    <mergeCell ref="B48:R48"/>
    <mergeCell ref="B49:R49"/>
    <mergeCell ref="B50:R50"/>
    <mergeCell ref="B51:R51"/>
    <mergeCell ref="B52:R52"/>
    <mergeCell ref="B53:R53"/>
    <mergeCell ref="B54:R54"/>
    <mergeCell ref="B55:R55"/>
    <mergeCell ref="B56:R56"/>
  </mergeCells>
  <pageMargins left="0.75" right="0.75" top="1" bottom="1" header="0.5" footer="0.5"/>
  <pageSetup paperSize="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16.VAX BY 19 MONTHS</vt:lpstr>
      <vt:lpstr>17.VAX BY 24 MONTHS </vt:lpstr>
      <vt:lpstr>18.VAX BY 35 MONTHS UPDATED</vt:lpstr>
      <vt:lpstr>'17.VAX BY 24 MONTHS '!MYRESULTSALL201516ALL</vt:lpstr>
      <vt:lpstr>'18.VAX BY 35 MONTHS UPDATED'!MYRESULTSALL201516ALL</vt:lpstr>
      <vt:lpstr>MYRESULTSALL201516ALL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NIS-Child Online Report Tables 16-18 Linear Results 2017</dc:title>
  <dc:subject>NIS-Child Online Report Tables 16-18 Linear Results 2017</dc:subject>
  <dc:creator>Yankey, David (CDC/OID/NCIRD)</dc:creator>
  <cp:keywords>NIS, child, online, report tables 16-18 Linear Trend 2017</cp:keywords>
  <cp:lastModifiedBy>Gueguen, Elizabeth (CDC/OID/NCIRD) (CTR)</cp:lastModifiedBy>
  <cp:lastPrinted>2017-10-04T19:12:14Z</cp:lastPrinted>
  <dcterms:created xsi:type="dcterms:W3CDTF">2017-09-14T18:00:33Z</dcterms:created>
  <dcterms:modified xsi:type="dcterms:W3CDTF">2017-10-31T17:00:50Z</dcterms:modified>
</cp:coreProperties>
</file>