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charts/chart17.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ioh6\Desktop\6857\"/>
    </mc:Choice>
  </mc:AlternateContent>
  <xr:revisionPtr revIDLastSave="0" documentId="8_{5BA572C5-76FC-4562-B95D-F911E7A584D9}" xr6:coauthVersionLast="47" xr6:coauthVersionMax="47" xr10:uidLastSave="{00000000-0000-0000-0000-000000000000}"/>
  <bookViews>
    <workbookView xWindow="684" yWindow="1920" windowWidth="19356" windowHeight="10308" tabRatio="918" firstSheet="1" activeTab="1" xr2:uid="{00000000-000D-0000-FFFF-FFFF00000000}"/>
  </bookViews>
  <sheets>
    <sheet name="Cover" sheetId="14" r:id="rId1"/>
    <sheet name="Language" sheetId="2" r:id="rId2"/>
    <sheet name="Registration" sheetId="45" r:id="rId3"/>
    <sheet name="Introduction" sheetId="13" r:id="rId4"/>
    <sheet name="Assessor Guide" sheetId="37" r:id="rId5"/>
    <sheet name="General 0" sheetId="3" r:id="rId6"/>
    <sheet name="Facility 1" sheetId="23" r:id="rId7"/>
    <sheet name="LIS 2" sheetId="32" r:id="rId8"/>
    <sheet name="Data Mgmt 3" sheetId="30" r:id="rId9"/>
    <sheet name="QA 4" sheetId="20" r:id="rId10"/>
    <sheet name="Media QC 5" sheetId="33" r:id="rId11"/>
    <sheet name="ID QC 6" sheetId="18" r:id="rId12"/>
    <sheet name="AST QC 7" sheetId="34" r:id="rId13"/>
    <sheet name="Specimen 8" sheetId="36" r:id="rId14"/>
    <sheet name="Processing 9" sheetId="5" r:id="rId15"/>
    <sheet name="Identification 10" sheetId="8" r:id="rId16"/>
    <sheet name="Basic AST 11" sheetId="24" r:id="rId17"/>
    <sheet name="AST Expert rules 12" sheetId="25" r:id="rId18"/>
    <sheet name="AST Policy 13" sheetId="35" r:id="rId19"/>
    <sheet name="Safety" sheetId="9" r:id="rId20"/>
    <sheet name="Summary" sheetId="1" r:id="rId21"/>
    <sheet name="Flags" sheetId="27" r:id="rId22"/>
    <sheet name="Conclusions" sheetId="43" r:id="rId23"/>
    <sheet name="Photos" sheetId="44" r:id="rId24"/>
    <sheet name="Export" sheetId="38" r:id="rId25"/>
  </sheets>
  <definedNames>
    <definedName name="_Toc1732508" localSheetId="1">Language!#REF!</definedName>
    <definedName name="_Toc1732514" localSheetId="1">Language!#REF!</definedName>
    <definedName name="_Toc1732529" localSheetId="17">'AST Expert rules 12'!#REF!</definedName>
    <definedName name="_Toc1732529" localSheetId="18">'AST Policy 13'!#REF!</definedName>
    <definedName name="_Toc1732529" localSheetId="16">'Basic AST 11'!$B$3</definedName>
    <definedName name="_Toc1732530" localSheetId="17">'AST Expert rules 12'!#REF!</definedName>
    <definedName name="_Toc1732530" localSheetId="18">'AST Policy 13'!#REF!</definedName>
    <definedName name="_Toc1732530" localSheetId="16">'Basic AST 11'!$B$15</definedName>
    <definedName name="_Toc1732531" localSheetId="17">'AST Expert rules 12'!#REF!</definedName>
    <definedName name="_Toc1732531" localSheetId="18">'AST Policy 13'!#REF!</definedName>
    <definedName name="_Toc1732531" localSheetId="16">'Basic AST 11'!$B$26</definedName>
    <definedName name="_Toc1732532" localSheetId="17">'AST Expert rules 12'!#REF!</definedName>
    <definedName name="_Toc1732532" localSheetId="18">'AST Policy 13'!#REF!</definedName>
    <definedName name="_Toc1732532" localSheetId="12">#REF!</definedName>
    <definedName name="_Toc1732532" localSheetId="16">'Basic AST 11'!$B$47</definedName>
    <definedName name="_Toc1732532" localSheetId="8">#REF!</definedName>
    <definedName name="_Toc1732532" localSheetId="7">#REF!</definedName>
    <definedName name="_Toc1732532" localSheetId="10">#REF!</definedName>
    <definedName name="_Toc1732532" localSheetId="13">#REF!</definedName>
    <definedName name="_Toc1732532">#REF!</definedName>
    <definedName name="_Toc1732533" localSheetId="17">'AST Expert rules 12'!#REF!</definedName>
    <definedName name="_Toc1732533" localSheetId="18">'AST Policy 13'!#REF!</definedName>
    <definedName name="_Toc1732533" localSheetId="12">#REF!</definedName>
    <definedName name="_Toc1732533" localSheetId="16">'Basic AST 11'!$B$64</definedName>
    <definedName name="_Toc1732533" localSheetId="8">#REF!</definedName>
    <definedName name="_Toc1732533" localSheetId="7">#REF!</definedName>
    <definedName name="_Toc1732533" localSheetId="10">#REF!</definedName>
    <definedName name="_Toc1732533" localSheetId="13">#REF!</definedName>
    <definedName name="_Toc1732533">#REF!</definedName>
    <definedName name="_Toc1732534" localSheetId="17">'AST Expert rules 12'!#REF!</definedName>
    <definedName name="_Toc1732534" localSheetId="18">'AST Policy 13'!#REF!</definedName>
    <definedName name="_Toc1732534" localSheetId="16">'General 0'!$B$85</definedName>
    <definedName name="_Toc1732536" localSheetId="17">'AST Expert rules 12'!#REF!</definedName>
    <definedName name="_Toc1732536" localSheetId="18">'AST Policy 13'!$B$18</definedName>
    <definedName name="_Toc1732536" localSheetId="12">#REF!</definedName>
    <definedName name="_Toc1732536" localSheetId="16">'Basic AST 11'!#REF!</definedName>
    <definedName name="_Toc1732536" localSheetId="8">#REF!</definedName>
    <definedName name="_Toc1732536" localSheetId="7">#REF!</definedName>
    <definedName name="_Toc1732536" localSheetId="10">#REF!</definedName>
    <definedName name="_Toc1732536" localSheetId="13">#REF!</definedName>
    <definedName name="_Toc1732536">#REF!</definedName>
    <definedName name="_Toc1732539" localSheetId="17">'AST Expert rules 12'!$B$41</definedName>
    <definedName name="_Toc1732539" localSheetId="18">'AST Policy 13'!#REF!</definedName>
    <definedName name="_Toc1732539" localSheetId="12">#REF!</definedName>
    <definedName name="_Toc1732539" localSheetId="16">'Basic AST 11'!#REF!</definedName>
    <definedName name="_Toc1732539" localSheetId="8">#REF!</definedName>
    <definedName name="_Toc1732539" localSheetId="7">#REF!</definedName>
    <definedName name="_Toc1732539" localSheetId="10">#REF!</definedName>
    <definedName name="_Toc1732539" localSheetId="13">#REF!</definedName>
    <definedName name="_Toc1732539">#REF!</definedName>
    <definedName name="_Toc1732542" localSheetId="17">'AST Expert rules 12'!$B$98</definedName>
    <definedName name="_Toc1732542" localSheetId="18">'AST Policy 13'!#REF!</definedName>
    <definedName name="_Toc1732542" localSheetId="16">'Basic AST 11'!#REF!</definedName>
    <definedName name="_Toc1732544" localSheetId="17">'AST Expert rules 12'!$B$142</definedName>
    <definedName name="_Toc1732544" localSheetId="18">'AST Policy 13'!#REF!</definedName>
    <definedName name="_Toc1732544" localSheetId="16">'Basic AST 11'!#REF!</definedName>
    <definedName name="_Toc2177259" localSheetId="4">'Assessor Guide'!$A$36</definedName>
    <definedName name="_Toc486852724" localSheetId="12">'AST QC 7'!#REF!</definedName>
    <definedName name="_Toc486852724" localSheetId="11">'ID QC 6'!#REF!</definedName>
    <definedName name="_Toc486852724" localSheetId="10">'Media QC 5'!#REF!</definedName>
    <definedName name="_Toc486852724" localSheetId="9">'QA 4'!#REF!</definedName>
    <definedName name="_Toc486852725" localSheetId="12">'AST QC 7'!$B$33</definedName>
    <definedName name="_Toc486852725" localSheetId="11">'ID QC 6'!#REF!</definedName>
    <definedName name="_Toc486852725" localSheetId="10">'Media QC 5'!#REF!</definedName>
    <definedName name="_Toc486852725" localSheetId="9">'QA 4'!#REF!</definedName>
    <definedName name="_Toc486852730" localSheetId="14">'Processing 9'!$B$1</definedName>
    <definedName name="_Toc486852730" localSheetId="13">'Specimen 8'!$B$1</definedName>
    <definedName name="_Toc486852735" localSheetId="15">'Identification 10'!$B$1</definedName>
    <definedName name="_Toc486852736" localSheetId="15">'Identification 10'!$B$220</definedName>
    <definedName name="_Toc486852741" localSheetId="15">'Identification 10'!#REF!</definedName>
    <definedName name="_Toc486852742" localSheetId="15">'Identification 10'!$B$87</definedName>
    <definedName name="langue">Language!$A$3</definedName>
    <definedName name="LIS" localSheetId="18">#REF!</definedName>
    <definedName name="LIS" localSheetId="12">#REF!</definedName>
    <definedName name="LIS" localSheetId="7">#REF!</definedName>
    <definedName name="LIS" localSheetId="10">#REF!</definedName>
    <definedName name="LIS" localSheetId="13">#REF!</definedName>
    <definedName name="LIS">#REF!</definedName>
    <definedName name="_xlnm.Print_Area" localSheetId="4">'Assessor Guide'!$A$1:$P$74</definedName>
    <definedName name="_xlnm.Print_Area" localSheetId="17">'AST Expert rules 12'!$A$1:$H$161</definedName>
    <definedName name="_xlnm.Print_Area" localSheetId="18">'AST Policy 13'!$A$1:$H$49</definedName>
    <definedName name="_xlnm.Print_Area" localSheetId="12">'AST QC 7'!$A$1:$H$77</definedName>
    <definedName name="_xlnm.Print_Area" localSheetId="16">'Basic AST 11'!$A$1:$H$95</definedName>
    <definedName name="_xlnm.Print_Area" localSheetId="8">'Data Mgmt 3'!$A$1:$H$113</definedName>
    <definedName name="_xlnm.Print_Area" localSheetId="6">'Facility 1'!$A$1:$H$173</definedName>
    <definedName name="_xlnm.Print_Area" localSheetId="21">Flags!$A$1:$H$159</definedName>
    <definedName name="_xlnm.Print_Area" localSheetId="5">'General 0'!$A$1:$G$165</definedName>
    <definedName name="_xlnm.Print_Area" localSheetId="15">'Identification 10'!$A$1:$H$244</definedName>
    <definedName name="_xlnm.Print_Area" localSheetId="3">Introduction!$A$1:$F$162</definedName>
    <definedName name="_xlnm.Print_Area" localSheetId="1">Language!$A:$C</definedName>
    <definedName name="_xlnm.Print_Area" localSheetId="7">'LIS 2'!$A$1:$H$80</definedName>
    <definedName name="_xlnm.Print_Area" localSheetId="10">'Media QC 5'!$A$1:$H$87</definedName>
    <definedName name="_xlnm.Print_Area" localSheetId="14">'Processing 9'!$A$1:$H$56</definedName>
    <definedName name="_xlnm.Print_Area" localSheetId="9">'QA 4'!$A$1:$H$67</definedName>
    <definedName name="_xlnm.Print_Area" localSheetId="19">Safety!$A$1:$H$45</definedName>
    <definedName name="_xlnm.Print_Area" localSheetId="13">'Specimen 8'!$A$1:$H$75</definedName>
    <definedName name="_xlnm.Print_Area" localSheetId="20">Summary!$A$1:$H$249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651" i="2" l="1"/>
  <c r="C9" i="1"/>
  <c r="C11" i="8" l="1"/>
  <c r="C33" i="34" l="1"/>
  <c r="A353" i="2" l="1"/>
  <c r="B57" i="3" s="1"/>
  <c r="C122" i="25"/>
  <c r="C33" i="8"/>
  <c r="A34" i="2"/>
  <c r="A32" i="2"/>
  <c r="A33" i="2"/>
  <c r="A30" i="2"/>
  <c r="A12" i="45" s="1"/>
  <c r="A31" i="2"/>
  <c r="A14" i="45" s="1"/>
  <c r="A643" i="2" l="1"/>
  <c r="H6" i="32" s="1"/>
  <c r="A16" i="2" l="1"/>
  <c r="A2" i="45" s="1"/>
  <c r="A17" i="2"/>
  <c r="A4" i="45" s="1"/>
  <c r="A18" i="2"/>
  <c r="A5" i="45" s="1"/>
  <c r="A19" i="2"/>
  <c r="A7" i="45" s="1"/>
  <c r="A20" i="2"/>
  <c r="A9" i="45" s="1"/>
  <c r="C220" i="8" l="1"/>
  <c r="B6" i="38" l="1"/>
  <c r="A7" i="2" l="1"/>
  <c r="D3" i="2" s="1"/>
  <c r="A8" i="2"/>
  <c r="E3" i="2" s="1"/>
  <c r="F5" i="23"/>
  <c r="G5" i="23" s="1"/>
  <c r="F6" i="23"/>
  <c r="G6" i="23" s="1"/>
  <c r="F7" i="23"/>
  <c r="G7" i="23" s="1"/>
  <c r="A470" i="2"/>
  <c r="B10" i="23" s="1"/>
  <c r="A1674" i="2"/>
  <c r="A13" i="2"/>
  <c r="E14" i="14" s="1"/>
  <c r="A465" i="2"/>
  <c r="B5" i="23" s="1"/>
  <c r="A522" i="2"/>
  <c r="B63" i="23" s="1"/>
  <c r="A989" i="2"/>
  <c r="B113" i="18" s="1"/>
  <c r="A990" i="2"/>
  <c r="B134" i="18" s="1"/>
  <c r="A991" i="2"/>
  <c r="A988" i="2"/>
  <c r="B132" i="18" s="1"/>
  <c r="A1009" i="2"/>
  <c r="B111" i="18" s="1"/>
  <c r="A1442" i="2"/>
  <c r="B12" i="25" s="1"/>
  <c r="A1435" i="2"/>
  <c r="B5" i="25" s="1"/>
  <c r="I88" i="24"/>
  <c r="A1276" i="2"/>
  <c r="B199" i="8" s="1"/>
  <c r="A1277" i="2"/>
  <c r="B147" i="8" s="1"/>
  <c r="A1278" i="2"/>
  <c r="B120" i="8" s="1"/>
  <c r="A1279" i="2"/>
  <c r="B142" i="8" s="1"/>
  <c r="A1280" i="2"/>
  <c r="B203" i="8" s="1"/>
  <c r="A1275" i="2"/>
  <c r="A1247" i="2"/>
  <c r="B162" i="8" s="1"/>
  <c r="A1248" i="2"/>
  <c r="B98" i="8" s="1"/>
  <c r="A1249" i="2"/>
  <c r="B69" i="8" s="1"/>
  <c r="A1250" i="2"/>
  <c r="B158" i="8" s="1"/>
  <c r="A1251" i="2"/>
  <c r="B166" i="8" s="1"/>
  <c r="A1246" i="2"/>
  <c r="F199" i="8"/>
  <c r="G199" i="8" s="1"/>
  <c r="C197" i="8"/>
  <c r="F192" i="8"/>
  <c r="G192" i="8" s="1"/>
  <c r="C190" i="8"/>
  <c r="F185" i="8"/>
  <c r="G185" i="8" s="1"/>
  <c r="C183" i="8"/>
  <c r="F178" i="8"/>
  <c r="G178" i="8"/>
  <c r="C176" i="8"/>
  <c r="E205" i="1" s="1"/>
  <c r="DU6" i="38" s="1"/>
  <c r="F171" i="8"/>
  <c r="G171" i="8" s="1"/>
  <c r="C169" i="8" s="1"/>
  <c r="F162" i="8"/>
  <c r="G162" i="8"/>
  <c r="C160" i="8"/>
  <c r="E210" i="1" s="1"/>
  <c r="DZ6" i="38" s="1"/>
  <c r="F155" i="8"/>
  <c r="G155" i="8" s="1"/>
  <c r="C153" i="8"/>
  <c r="F145" i="8"/>
  <c r="F139" i="8"/>
  <c r="G139" i="8"/>
  <c r="C137" i="8"/>
  <c r="E202" i="1" s="1"/>
  <c r="DR6" i="38" s="1"/>
  <c r="F132" i="8"/>
  <c r="G132" i="8" s="1"/>
  <c r="C130" i="8"/>
  <c r="E201" i="1" s="1"/>
  <c r="DQ6" i="38" s="1"/>
  <c r="F125" i="8"/>
  <c r="G125" i="8" s="1"/>
  <c r="C123" i="8"/>
  <c r="F118" i="8"/>
  <c r="G118" i="8" s="1"/>
  <c r="C116" i="8"/>
  <c r="E199" i="1" s="1"/>
  <c r="DO6" i="38" s="1"/>
  <c r="F111" i="8"/>
  <c r="G111" i="8" s="1"/>
  <c r="C109" i="8"/>
  <c r="E198" i="1" s="1"/>
  <c r="DN6" i="38" s="1"/>
  <c r="F104" i="8"/>
  <c r="G104" i="8" s="1"/>
  <c r="C102" i="8"/>
  <c r="E197" i="1" s="1"/>
  <c r="DM6" i="38" s="1"/>
  <c r="F97" i="8"/>
  <c r="G97" i="8" s="1"/>
  <c r="F90" i="8"/>
  <c r="G90" i="8" s="1"/>
  <c r="C88" i="8"/>
  <c r="C58" i="8"/>
  <c r="E191" i="1" s="1"/>
  <c r="DG6" i="38" s="1"/>
  <c r="C65" i="8"/>
  <c r="E193" i="1" s="1"/>
  <c r="DI6" i="38" s="1"/>
  <c r="C80" i="8"/>
  <c r="F51" i="8"/>
  <c r="G51" i="8" s="1"/>
  <c r="C49" i="8"/>
  <c r="E190" i="1" s="1"/>
  <c r="DF6" i="38" s="1"/>
  <c r="F44" i="8"/>
  <c r="G44" i="8" s="1"/>
  <c r="C42" i="8"/>
  <c r="E189" i="1" s="1"/>
  <c r="DE6" i="38" s="1"/>
  <c r="F35" i="8"/>
  <c r="G35" i="8" s="1"/>
  <c r="A1186" i="2"/>
  <c r="B4" i="5" s="1"/>
  <c r="F13" i="5"/>
  <c r="SJ6" i="38" s="1"/>
  <c r="F25" i="5"/>
  <c r="F42" i="5"/>
  <c r="C24" i="5"/>
  <c r="C134" i="1" s="1"/>
  <c r="IN6" i="38" s="1"/>
  <c r="F5" i="5"/>
  <c r="G5" i="5" s="1"/>
  <c r="F6" i="5"/>
  <c r="G6" i="5" s="1"/>
  <c r="F4" i="5"/>
  <c r="F67" i="34"/>
  <c r="G67" i="34" s="1"/>
  <c r="C64" i="34" s="1"/>
  <c r="C122" i="1" s="1"/>
  <c r="IF6" i="38" s="1"/>
  <c r="F53" i="34"/>
  <c r="G53" i="34" s="1"/>
  <c r="C50" i="34"/>
  <c r="C121" i="1" s="1"/>
  <c r="IE6" i="38" s="1"/>
  <c r="F36" i="34"/>
  <c r="G36" i="34"/>
  <c r="C120" i="1"/>
  <c r="ID6" i="38" s="1"/>
  <c r="C146" i="18"/>
  <c r="D210" i="1" s="1"/>
  <c r="DA6" i="38" s="1"/>
  <c r="F25" i="18"/>
  <c r="G25" i="18" s="1"/>
  <c r="F30" i="18"/>
  <c r="G30" i="18" s="1"/>
  <c r="F35" i="18"/>
  <c r="G35" i="18" s="1"/>
  <c r="F40" i="18"/>
  <c r="G40" i="18" s="1"/>
  <c r="F45" i="18"/>
  <c r="G45" i="18" s="1"/>
  <c r="F50" i="18"/>
  <c r="G50" i="18" s="1"/>
  <c r="F55" i="18"/>
  <c r="G55" i="18" s="1"/>
  <c r="F60" i="18"/>
  <c r="G60" i="18" s="1"/>
  <c r="F65" i="18"/>
  <c r="G65" i="18" s="1"/>
  <c r="F70" i="18"/>
  <c r="G70" i="18" s="1"/>
  <c r="F75" i="18"/>
  <c r="G75" i="18" s="1"/>
  <c r="F80" i="18"/>
  <c r="G80" i="18" s="1"/>
  <c r="F85" i="18"/>
  <c r="G85" i="18" s="1"/>
  <c r="F90" i="18"/>
  <c r="G90" i="18" s="1"/>
  <c r="F95" i="18"/>
  <c r="G95" i="18" s="1"/>
  <c r="F100" i="18"/>
  <c r="G100" i="18" s="1"/>
  <c r="F105" i="18"/>
  <c r="G105" i="18" s="1"/>
  <c r="F110" i="18"/>
  <c r="G110" i="18" s="1"/>
  <c r="F115" i="18"/>
  <c r="G115" i="18" s="1"/>
  <c r="F120" i="18"/>
  <c r="G120" i="18" s="1"/>
  <c r="F125" i="18"/>
  <c r="G125" i="18" s="1"/>
  <c r="F130" i="18"/>
  <c r="G130" i="18" s="1"/>
  <c r="F135" i="18"/>
  <c r="G135" i="18" s="1"/>
  <c r="F24" i="18"/>
  <c r="G24" i="18" s="1"/>
  <c r="F29" i="18"/>
  <c r="G29" i="18" s="1"/>
  <c r="F34" i="18"/>
  <c r="G34" i="18" s="1"/>
  <c r="F39" i="18"/>
  <c r="G39" i="18" s="1"/>
  <c r="F44" i="18"/>
  <c r="G44" i="18" s="1"/>
  <c r="F49" i="18"/>
  <c r="G49" i="18" s="1"/>
  <c r="F54" i="18"/>
  <c r="G54" i="18" s="1"/>
  <c r="F59" i="18"/>
  <c r="G59" i="18" s="1"/>
  <c r="F64" i="18"/>
  <c r="G64" i="18"/>
  <c r="F69" i="18"/>
  <c r="G69" i="18" s="1"/>
  <c r="F74" i="18"/>
  <c r="G74" i="18"/>
  <c r="F79" i="18"/>
  <c r="G79" i="18" s="1"/>
  <c r="F84" i="18"/>
  <c r="G84" i="18" s="1"/>
  <c r="F89" i="18"/>
  <c r="G89" i="18" s="1"/>
  <c r="F94" i="18"/>
  <c r="G94" i="18"/>
  <c r="F99" i="18"/>
  <c r="G99" i="18" s="1"/>
  <c r="F104" i="18"/>
  <c r="G104" i="18"/>
  <c r="F109" i="18"/>
  <c r="G109" i="18" s="1"/>
  <c r="F114" i="18"/>
  <c r="G114" i="18"/>
  <c r="F119" i="18"/>
  <c r="G119" i="18" s="1"/>
  <c r="F124" i="18"/>
  <c r="G124" i="18" s="1"/>
  <c r="F129" i="18"/>
  <c r="G129" i="18" s="1"/>
  <c r="F134" i="18"/>
  <c r="G134" i="18"/>
  <c r="F23" i="18"/>
  <c r="G23" i="18" s="1"/>
  <c r="F28" i="18"/>
  <c r="G28" i="18" s="1"/>
  <c r="F33" i="18"/>
  <c r="G33" i="18" s="1"/>
  <c r="F38" i="18"/>
  <c r="G38" i="18" s="1"/>
  <c r="F43" i="18"/>
  <c r="G43" i="18" s="1"/>
  <c r="F48" i="18"/>
  <c r="G48" i="18" s="1"/>
  <c r="F53" i="18"/>
  <c r="G53" i="18" s="1"/>
  <c r="F58" i="18"/>
  <c r="G58" i="18" s="1"/>
  <c r="F63" i="18"/>
  <c r="G63" i="18" s="1"/>
  <c r="F68" i="18"/>
  <c r="G68" i="18" s="1"/>
  <c r="F73" i="18"/>
  <c r="G73" i="18" s="1"/>
  <c r="F78" i="18"/>
  <c r="G78" i="18" s="1"/>
  <c r="F83" i="18"/>
  <c r="G83" i="18" s="1"/>
  <c r="F88" i="18"/>
  <c r="G88" i="18" s="1"/>
  <c r="F93" i="18"/>
  <c r="G93" i="18" s="1"/>
  <c r="F98" i="18"/>
  <c r="G98" i="18" s="1"/>
  <c r="F103" i="18"/>
  <c r="G103" i="18" s="1"/>
  <c r="F108" i="18"/>
  <c r="G108" i="18" s="1"/>
  <c r="F113" i="18"/>
  <c r="G113" i="18" s="1"/>
  <c r="F118" i="18"/>
  <c r="G118" i="18" s="1"/>
  <c r="F123" i="18"/>
  <c r="G123" i="18" s="1"/>
  <c r="F128" i="18"/>
  <c r="G128" i="18" s="1"/>
  <c r="F133" i="18"/>
  <c r="G133" i="18" s="1"/>
  <c r="F22" i="18"/>
  <c r="G22" i="18" s="1"/>
  <c r="F27" i="18"/>
  <c r="G27" i="18" s="1"/>
  <c r="F32" i="18"/>
  <c r="G32" i="18" s="1"/>
  <c r="F37" i="18"/>
  <c r="G37" i="18" s="1"/>
  <c r="C36" i="18" s="1"/>
  <c r="D189" i="1" s="1"/>
  <c r="CF6" i="38" s="1"/>
  <c r="F42" i="18"/>
  <c r="G42" i="18" s="1"/>
  <c r="F47" i="18"/>
  <c r="G47" i="18"/>
  <c r="F52" i="18"/>
  <c r="G52" i="18" s="1"/>
  <c r="F57" i="18"/>
  <c r="G57" i="18"/>
  <c r="F62" i="18"/>
  <c r="G62" i="18" s="1"/>
  <c r="F67" i="18"/>
  <c r="G67" i="18"/>
  <c r="F72" i="18"/>
  <c r="G72" i="18" s="1"/>
  <c r="F77" i="18"/>
  <c r="G77" i="18" s="1"/>
  <c r="F82" i="18"/>
  <c r="G82" i="18" s="1"/>
  <c r="F87" i="18"/>
  <c r="G87" i="18"/>
  <c r="F92" i="18"/>
  <c r="G92" i="18" s="1"/>
  <c r="F97" i="18"/>
  <c r="G97" i="18"/>
  <c r="F102" i="18"/>
  <c r="G102" i="18" s="1"/>
  <c r="F107" i="18"/>
  <c r="G107" i="18"/>
  <c r="F112" i="18"/>
  <c r="G112" i="18" s="1"/>
  <c r="F117" i="18"/>
  <c r="G117" i="18" s="1"/>
  <c r="F122" i="18"/>
  <c r="G122" i="18" s="1"/>
  <c r="F127" i="18"/>
  <c r="G127" i="18"/>
  <c r="F132" i="18"/>
  <c r="G132" i="18" s="1"/>
  <c r="F6" i="32"/>
  <c r="G6" i="32" s="1"/>
  <c r="F9" i="32"/>
  <c r="G9" i="32" s="1"/>
  <c r="F10" i="32"/>
  <c r="G10" i="32" s="1"/>
  <c r="F11" i="32"/>
  <c r="G11" i="32" s="1"/>
  <c r="F89" i="23"/>
  <c r="G89" i="23"/>
  <c r="F83" i="23"/>
  <c r="G83" i="23" s="1"/>
  <c r="F86" i="23"/>
  <c r="G86" i="23"/>
  <c r="F92" i="23"/>
  <c r="G92" i="23" s="1"/>
  <c r="F95" i="23"/>
  <c r="G95" i="23" s="1"/>
  <c r="F98" i="23"/>
  <c r="G98" i="23" s="1"/>
  <c r="F101" i="23"/>
  <c r="G101" i="23" s="1"/>
  <c r="F105" i="23"/>
  <c r="G105" i="23" s="1"/>
  <c r="F90" i="23"/>
  <c r="G90" i="23" s="1"/>
  <c r="F84" i="23"/>
  <c r="G84" i="23" s="1"/>
  <c r="F87" i="23"/>
  <c r="G87" i="23" s="1"/>
  <c r="F93" i="23"/>
  <c r="G93" i="23" s="1"/>
  <c r="F96" i="23"/>
  <c r="G96" i="23" s="1"/>
  <c r="F99" i="23"/>
  <c r="G99" i="23"/>
  <c r="F102" i="23"/>
  <c r="G102" i="23" s="1"/>
  <c r="F106" i="23"/>
  <c r="G106" i="23" s="1"/>
  <c r="F17" i="23"/>
  <c r="G17" i="23" s="1"/>
  <c r="A477" i="2"/>
  <c r="B17" i="23" s="1"/>
  <c r="B135" i="27" s="1"/>
  <c r="I17" i="23"/>
  <c r="A317" i="2"/>
  <c r="E18" i="3" s="1"/>
  <c r="A315" i="2"/>
  <c r="E17" i="3" s="1"/>
  <c r="A313" i="2"/>
  <c r="E16" i="3" s="1"/>
  <c r="A312" i="2"/>
  <c r="B16" i="3" s="1"/>
  <c r="A314" i="2"/>
  <c r="B17" i="3" s="1"/>
  <c r="A316" i="2"/>
  <c r="B18" i="3" s="1"/>
  <c r="A318" i="2"/>
  <c r="B20" i="3" s="1"/>
  <c r="A1149" i="2"/>
  <c r="B41" i="36" s="1"/>
  <c r="F83" i="25"/>
  <c r="G83" i="25" s="1"/>
  <c r="A1449" i="2"/>
  <c r="B19" i="25" s="1"/>
  <c r="A1448" i="2"/>
  <c r="B18" i="25" s="1"/>
  <c r="A1444" i="2"/>
  <c r="A1447" i="2"/>
  <c r="B17" i="25" s="1"/>
  <c r="A1446" i="2"/>
  <c r="B16" i="25" s="1"/>
  <c r="F96" i="30"/>
  <c r="G96" i="30" s="1"/>
  <c r="C90" i="30" s="1"/>
  <c r="C91" i="1" s="1"/>
  <c r="HI6" i="38" s="1"/>
  <c r="F97" i="30"/>
  <c r="G97" i="30" s="1"/>
  <c r="F98" i="30"/>
  <c r="G98" i="30" s="1"/>
  <c r="F99" i="30"/>
  <c r="G99" i="30" s="1"/>
  <c r="F100" i="30"/>
  <c r="G100" i="30" s="1"/>
  <c r="F101" i="30"/>
  <c r="G101" i="30" s="1"/>
  <c r="F103" i="30"/>
  <c r="G103" i="30"/>
  <c r="F104" i="30"/>
  <c r="G104" i="30" s="1"/>
  <c r="F105" i="30"/>
  <c r="G105" i="30"/>
  <c r="F106" i="30"/>
  <c r="G106" i="30" s="1"/>
  <c r="F47" i="30"/>
  <c r="G47" i="30" s="1"/>
  <c r="C43" i="30" s="1"/>
  <c r="C88" i="1" s="1"/>
  <c r="HF6" i="38" s="1"/>
  <c r="F5" i="30"/>
  <c r="G5" i="30" s="1"/>
  <c r="F6" i="30"/>
  <c r="G6" i="30" s="1"/>
  <c r="F7" i="30"/>
  <c r="G7" i="30" s="1"/>
  <c r="F8" i="30"/>
  <c r="G8" i="30" s="1"/>
  <c r="F9" i="30"/>
  <c r="F10" i="30"/>
  <c r="G10" i="30"/>
  <c r="F11" i="30"/>
  <c r="G11" i="30" s="1"/>
  <c r="F15" i="30"/>
  <c r="G15" i="30" s="1"/>
  <c r="F16" i="30"/>
  <c r="G16" i="30" s="1"/>
  <c r="F17" i="30"/>
  <c r="G17" i="30" s="1"/>
  <c r="F18" i="30"/>
  <c r="G18" i="30" s="1"/>
  <c r="F19" i="30"/>
  <c r="G19" i="30"/>
  <c r="F20" i="30"/>
  <c r="G20" i="30" s="1"/>
  <c r="F21" i="30"/>
  <c r="G21" i="30"/>
  <c r="F22" i="30"/>
  <c r="G22" i="30" s="1"/>
  <c r="F23" i="30"/>
  <c r="G23" i="30" s="1"/>
  <c r="F24" i="30"/>
  <c r="G24" i="30" s="1"/>
  <c r="F25" i="30"/>
  <c r="G25" i="30" s="1"/>
  <c r="F29" i="30"/>
  <c r="G29" i="30" s="1"/>
  <c r="F30" i="30"/>
  <c r="G30" i="30"/>
  <c r="F31" i="30"/>
  <c r="G31" i="30" s="1"/>
  <c r="F32" i="30"/>
  <c r="G32" i="30"/>
  <c r="F33" i="30"/>
  <c r="G33" i="30" s="1"/>
  <c r="F34" i="30"/>
  <c r="G34" i="30" s="1"/>
  <c r="F35" i="30"/>
  <c r="G35" i="30" s="1"/>
  <c r="F36" i="30"/>
  <c r="G36" i="30" s="1"/>
  <c r="F37" i="30"/>
  <c r="G37" i="30" s="1"/>
  <c r="F38" i="30"/>
  <c r="G38" i="30"/>
  <c r="F39" i="30"/>
  <c r="G39" i="30" s="1"/>
  <c r="F40" i="30"/>
  <c r="G40" i="30"/>
  <c r="F41" i="30"/>
  <c r="G41" i="30" s="1"/>
  <c r="F48" i="30"/>
  <c r="G48" i="30" s="1"/>
  <c r="F49" i="30"/>
  <c r="G49" i="30" s="1"/>
  <c r="F50" i="30"/>
  <c r="G50" i="30"/>
  <c r="F51" i="30"/>
  <c r="G51" i="30" s="1"/>
  <c r="F52" i="30"/>
  <c r="G52" i="30"/>
  <c r="F53" i="30"/>
  <c r="G53" i="30" s="1"/>
  <c r="F54" i="30"/>
  <c r="G54" i="30"/>
  <c r="F55" i="30"/>
  <c r="G55" i="30" s="1"/>
  <c r="F56" i="30"/>
  <c r="G56" i="30" s="1"/>
  <c r="F57" i="30"/>
  <c r="G57" i="30" s="1"/>
  <c r="F58" i="30"/>
  <c r="G58" i="30" s="1"/>
  <c r="F59" i="30"/>
  <c r="G59" i="30" s="1"/>
  <c r="F60" i="30"/>
  <c r="G60" i="30"/>
  <c r="F66" i="30"/>
  <c r="G66" i="30" s="1"/>
  <c r="F69" i="30"/>
  <c r="G69" i="30"/>
  <c r="C68" i="30" s="1"/>
  <c r="C89" i="1" s="1"/>
  <c r="HG6" i="38" s="1"/>
  <c r="F73" i="30"/>
  <c r="G73" i="30" s="1"/>
  <c r="F78" i="30"/>
  <c r="G78" i="30" s="1"/>
  <c r="F81" i="30"/>
  <c r="G81" i="30" s="1"/>
  <c r="F83" i="30"/>
  <c r="G83" i="30" s="1"/>
  <c r="F85" i="30"/>
  <c r="G85" i="30" s="1"/>
  <c r="F86" i="30"/>
  <c r="G86" i="30"/>
  <c r="F87" i="30"/>
  <c r="G87" i="30" s="1"/>
  <c r="F88" i="30"/>
  <c r="G88" i="30"/>
  <c r="F107" i="30"/>
  <c r="G107" i="30" s="1"/>
  <c r="F109" i="30"/>
  <c r="G109" i="30" s="1"/>
  <c r="F110" i="30"/>
  <c r="G110" i="30" s="1"/>
  <c r="F111" i="30"/>
  <c r="G111" i="30" s="1"/>
  <c r="F112" i="30"/>
  <c r="G112" i="30" s="1"/>
  <c r="F113" i="30"/>
  <c r="G113" i="30"/>
  <c r="A800" i="2"/>
  <c r="B95" i="30" s="1"/>
  <c r="A298" i="2"/>
  <c r="C159" i="27" s="1"/>
  <c r="A297" i="2"/>
  <c r="C130" i="27" s="1"/>
  <c r="A296" i="2"/>
  <c r="C116" i="27" s="1"/>
  <c r="A293" i="2"/>
  <c r="B6" i="27" s="1"/>
  <c r="A291" i="2"/>
  <c r="H133" i="27" s="1"/>
  <c r="A290" i="2"/>
  <c r="G133" i="27" s="1"/>
  <c r="A289" i="2"/>
  <c r="D133" i="27" s="1"/>
  <c r="A288" i="2"/>
  <c r="A292" i="2"/>
  <c r="B4" i="27" s="1"/>
  <c r="A278" i="2"/>
  <c r="A4" i="43" s="1"/>
  <c r="A277" i="2"/>
  <c r="A3" i="43" s="1"/>
  <c r="A282" i="2"/>
  <c r="A4" i="44" s="1"/>
  <c r="A281" i="2"/>
  <c r="A3" i="44" s="1"/>
  <c r="A82" i="2"/>
  <c r="B39" i="1" s="1"/>
  <c r="C39" i="1"/>
  <c r="E43" i="1"/>
  <c r="C138" i="3"/>
  <c r="C139" i="3"/>
  <c r="C134" i="3"/>
  <c r="C135" i="3"/>
  <c r="EK6" i="38"/>
  <c r="EJ6" i="38"/>
  <c r="EI6" i="38"/>
  <c r="EH6" i="38"/>
  <c r="EG6" i="38"/>
  <c r="EF6" i="38"/>
  <c r="EE6" i="38"/>
  <c r="ED6" i="38"/>
  <c r="EC6" i="38"/>
  <c r="EB6" i="38"/>
  <c r="EA6" i="38"/>
  <c r="G215" i="1"/>
  <c r="G214" i="1"/>
  <c r="G213" i="1"/>
  <c r="E224" i="1"/>
  <c r="G220" i="1"/>
  <c r="G221" i="1"/>
  <c r="G222" i="1"/>
  <c r="G223" i="1"/>
  <c r="G224" i="1"/>
  <c r="G219" i="1"/>
  <c r="A442" i="2"/>
  <c r="E220" i="1" s="1"/>
  <c r="A443" i="2"/>
  <c r="E221" i="1" s="1"/>
  <c r="A444" i="2"/>
  <c r="A445" i="2"/>
  <c r="E223" i="1" s="1"/>
  <c r="A441" i="2"/>
  <c r="E219" i="1" s="1"/>
  <c r="A439" i="2"/>
  <c r="E218" i="1" s="1"/>
  <c r="A429" i="2"/>
  <c r="G39" i="1"/>
  <c r="G40" i="1"/>
  <c r="G41" i="1"/>
  <c r="G42" i="1"/>
  <c r="G43" i="1"/>
  <c r="G38" i="1"/>
  <c r="A405" i="2"/>
  <c r="E39" i="1" s="1"/>
  <c r="A406" i="2"/>
  <c r="E40" i="1" s="1"/>
  <c r="A407" i="2"/>
  <c r="E41" i="1" s="1"/>
  <c r="A408" i="2"/>
  <c r="E42" i="1" s="1"/>
  <c r="A404" i="2"/>
  <c r="E38" i="1" s="1"/>
  <c r="A83" i="2"/>
  <c r="B41" i="1" s="1"/>
  <c r="A86" i="2"/>
  <c r="B44" i="1" s="1"/>
  <c r="A85" i="2"/>
  <c r="B43" i="1" s="1"/>
  <c r="A84" i="2"/>
  <c r="B42" i="1" s="1"/>
  <c r="A212" i="2"/>
  <c r="D185" i="1" s="1"/>
  <c r="A213" i="2"/>
  <c r="E185" i="1" s="1"/>
  <c r="A211" i="2"/>
  <c r="C185" i="1" s="1"/>
  <c r="F154" i="8"/>
  <c r="C209" i="1" s="1"/>
  <c r="F161" i="8"/>
  <c r="C210" i="1" s="1"/>
  <c r="F198" i="8"/>
  <c r="C208" i="1" s="1"/>
  <c r="F191" i="8"/>
  <c r="C207" i="1" s="1"/>
  <c r="F184" i="8"/>
  <c r="C206" i="1" s="1"/>
  <c r="F177" i="8"/>
  <c r="C205" i="1" s="1"/>
  <c r="F170" i="8"/>
  <c r="C204" i="1" s="1"/>
  <c r="F138" i="8"/>
  <c r="C202" i="1" s="1"/>
  <c r="F131" i="8"/>
  <c r="C201" i="1" s="1"/>
  <c r="F124" i="8"/>
  <c r="C200" i="1" s="1"/>
  <c r="F117" i="8"/>
  <c r="C199" i="1" s="1"/>
  <c r="F110" i="8"/>
  <c r="C198" i="1" s="1"/>
  <c r="F103" i="8"/>
  <c r="C197" i="1" s="1"/>
  <c r="F96" i="8"/>
  <c r="C196" i="1" s="1"/>
  <c r="F89" i="8"/>
  <c r="C195" i="1" s="1"/>
  <c r="F81" i="8"/>
  <c r="C194" i="1" s="1"/>
  <c r="F66" i="8"/>
  <c r="C193" i="1" s="1"/>
  <c r="F73" i="8"/>
  <c r="C192" i="1" s="1"/>
  <c r="F59" i="8"/>
  <c r="C191" i="1" s="1"/>
  <c r="F50" i="8"/>
  <c r="C190" i="1" s="1"/>
  <c r="F43" i="8"/>
  <c r="C189" i="1" s="1"/>
  <c r="F34" i="8"/>
  <c r="C188" i="1" s="1"/>
  <c r="F21" i="8"/>
  <c r="C187" i="1" s="1"/>
  <c r="F12" i="8"/>
  <c r="C186" i="1" s="1"/>
  <c r="A370" i="2"/>
  <c r="B17" i="1" s="1"/>
  <c r="A280" i="2"/>
  <c r="A2" i="44" s="1"/>
  <c r="A279" i="2"/>
  <c r="A1" i="44" s="1"/>
  <c r="A276" i="2"/>
  <c r="A2" i="43" s="1"/>
  <c r="A10" i="2"/>
  <c r="E10" i="14" s="1"/>
  <c r="A11" i="2"/>
  <c r="E11" i="14" s="1"/>
  <c r="A12" i="2"/>
  <c r="E12" i="14" s="1"/>
  <c r="A14" i="2"/>
  <c r="E16" i="14" s="1"/>
  <c r="A15" i="2"/>
  <c r="E22" i="14" s="1"/>
  <c r="A21" i="2"/>
  <c r="A35" i="37" s="1"/>
  <c r="A22" i="2"/>
  <c r="B36" i="37" s="1"/>
  <c r="A23" i="2"/>
  <c r="A27" i="37" s="1"/>
  <c r="A24" i="2"/>
  <c r="A28" i="37" s="1"/>
  <c r="A25" i="2"/>
  <c r="A29" i="37" s="1"/>
  <c r="A26" i="2"/>
  <c r="A30" i="37" s="1"/>
  <c r="A27" i="2"/>
  <c r="A31" i="37" s="1"/>
  <c r="A28" i="2"/>
  <c r="A32" i="37" s="1"/>
  <c r="A29" i="2"/>
  <c r="A33" i="37" s="1"/>
  <c r="A35" i="2"/>
  <c r="A1" i="37" s="1"/>
  <c r="A36" i="2"/>
  <c r="A2" i="37" s="1"/>
  <c r="A37" i="2"/>
  <c r="A1" i="1" s="1"/>
  <c r="A38" i="2"/>
  <c r="A39" i="2"/>
  <c r="B4" i="1" s="1"/>
  <c r="A40" i="2"/>
  <c r="B5" i="1" s="1"/>
  <c r="A41" i="2"/>
  <c r="B6" i="1" s="1"/>
  <c r="A42" i="2"/>
  <c r="B7" i="1" s="1"/>
  <c r="A43" i="2"/>
  <c r="B8" i="1" s="1"/>
  <c r="A44" i="2"/>
  <c r="B10" i="1" s="1"/>
  <c r="A45" i="2"/>
  <c r="B11" i="1" s="1"/>
  <c r="A46" i="2"/>
  <c r="B12" i="1" s="1"/>
  <c r="A47" i="2"/>
  <c r="B13" i="1" s="1"/>
  <c r="A48" i="2"/>
  <c r="B14" i="1" s="1"/>
  <c r="A49" i="2"/>
  <c r="B15" i="1" s="1"/>
  <c r="A50" i="2"/>
  <c r="B16" i="1" s="1"/>
  <c r="A51" i="2"/>
  <c r="A52" i="2"/>
  <c r="B18" i="1" s="1"/>
  <c r="A53" i="2"/>
  <c r="B19" i="1" s="1"/>
  <c r="A54" i="2"/>
  <c r="B20" i="1" s="1"/>
  <c r="A55" i="2"/>
  <c r="B21" i="1" s="1"/>
  <c r="A56" i="2"/>
  <c r="B22" i="1" s="1"/>
  <c r="A57" i="2"/>
  <c r="B23" i="1" s="1"/>
  <c r="A58" i="2"/>
  <c r="B24" i="1" s="1"/>
  <c r="A59" i="2"/>
  <c r="B25" i="1" s="1"/>
  <c r="A60" i="2"/>
  <c r="B26" i="1" s="1"/>
  <c r="A61" i="2"/>
  <c r="B28" i="1" s="1"/>
  <c r="A62" i="2"/>
  <c r="B29" i="1" s="1"/>
  <c r="A63" i="2"/>
  <c r="B30" i="1" s="1"/>
  <c r="A64" i="2"/>
  <c r="B31" i="1" s="1"/>
  <c r="A65" i="2"/>
  <c r="B32" i="1" s="1"/>
  <c r="A66" i="2"/>
  <c r="B33" i="1" s="1"/>
  <c r="A67" i="2"/>
  <c r="B34" i="1" s="1"/>
  <c r="A68" i="2"/>
  <c r="B36" i="1" s="1"/>
  <c r="A69" i="2"/>
  <c r="A70" i="2"/>
  <c r="A71" i="2"/>
  <c r="A72" i="2"/>
  <c r="A73" i="2"/>
  <c r="A74" i="2"/>
  <c r="A75" i="2"/>
  <c r="A76" i="2"/>
  <c r="A77" i="2"/>
  <c r="A78" i="2"/>
  <c r="A79" i="2"/>
  <c r="A80" i="2"/>
  <c r="B37" i="1" s="1"/>
  <c r="A81" i="2"/>
  <c r="B38" i="1" s="1"/>
  <c r="A87" i="2"/>
  <c r="B47" i="1" s="1"/>
  <c r="A88" i="2"/>
  <c r="A89" i="2"/>
  <c r="B49" i="1" s="1"/>
  <c r="A90" i="2"/>
  <c r="A91" i="2"/>
  <c r="A92" i="2"/>
  <c r="A93" i="2"/>
  <c r="A94" i="2"/>
  <c r="A95" i="2"/>
  <c r="A96" i="2"/>
  <c r="A97" i="2"/>
  <c r="A98" i="2"/>
  <c r="A99" i="2"/>
  <c r="A100" i="2"/>
  <c r="A101" i="2"/>
  <c r="A102" i="2"/>
  <c r="A103" i="2"/>
  <c r="B64" i="1" s="1"/>
  <c r="A104" i="2"/>
  <c r="B65" i="1" s="1"/>
  <c r="A105" i="2"/>
  <c r="B66" i="1" s="1"/>
  <c r="A106" i="2"/>
  <c r="B67" i="1" s="1"/>
  <c r="A107" i="2"/>
  <c r="B68" i="1" s="1"/>
  <c r="A108" i="2"/>
  <c r="B69" i="1" s="1"/>
  <c r="A109" i="2"/>
  <c r="B70" i="1" s="1"/>
  <c r="A110" i="2"/>
  <c r="B71" i="1" s="1"/>
  <c r="A111" i="2"/>
  <c r="B72" i="1" s="1"/>
  <c r="A112" i="2"/>
  <c r="B73" i="1" s="1"/>
  <c r="A113" i="2"/>
  <c r="B74" i="1" s="1"/>
  <c r="A114" i="2"/>
  <c r="B76" i="1" s="1"/>
  <c r="A115" i="2"/>
  <c r="B77" i="1" s="1"/>
  <c r="A116" i="2"/>
  <c r="B78" i="1" s="1"/>
  <c r="A117" i="2"/>
  <c r="B79" i="1" s="1"/>
  <c r="A118" i="2"/>
  <c r="B80" i="1" s="1"/>
  <c r="A119" i="2"/>
  <c r="B81" i="1" s="1"/>
  <c r="A120" i="2"/>
  <c r="B82" i="1" s="1"/>
  <c r="A121" i="2"/>
  <c r="A122" i="2"/>
  <c r="B85" i="1" s="1"/>
  <c r="A123" i="2"/>
  <c r="B86" i="1" s="1"/>
  <c r="A124" i="2"/>
  <c r="B87" i="1" s="1"/>
  <c r="A125" i="2"/>
  <c r="B88" i="1" s="1"/>
  <c r="A126" i="2"/>
  <c r="B89" i="1" s="1"/>
  <c r="A127" i="2"/>
  <c r="B90" i="1" s="1"/>
  <c r="A128" i="2"/>
  <c r="B91" i="1" s="1"/>
  <c r="A129" i="2"/>
  <c r="A130" i="2"/>
  <c r="B94" i="1" s="1"/>
  <c r="A131" i="2"/>
  <c r="B95" i="1" s="1"/>
  <c r="A132" i="2"/>
  <c r="B96" i="1" s="1"/>
  <c r="A133" i="2"/>
  <c r="B97" i="1" s="1"/>
  <c r="A134" i="2"/>
  <c r="A135" i="2"/>
  <c r="B100" i="1" s="1"/>
  <c r="A136" i="2"/>
  <c r="B101" i="1" s="1"/>
  <c r="A137" i="2"/>
  <c r="B102" i="1" s="1"/>
  <c r="A138" i="2"/>
  <c r="B103" i="1" s="1"/>
  <c r="A139" i="2"/>
  <c r="B104" i="1" s="1"/>
  <c r="A140" i="2"/>
  <c r="B105" i="1" s="1"/>
  <c r="A141" i="2"/>
  <c r="A142" i="2"/>
  <c r="B108" i="1" s="1"/>
  <c r="A143" i="2"/>
  <c r="B109" i="1" s="1"/>
  <c r="A144" i="2"/>
  <c r="B110" i="1" s="1"/>
  <c r="A145" i="2"/>
  <c r="B111" i="1" s="1"/>
  <c r="A146" i="2"/>
  <c r="B112" i="1" s="1"/>
  <c r="A147" i="2"/>
  <c r="B113" i="1" s="1"/>
  <c r="A148" i="2"/>
  <c r="B114" i="1" s="1"/>
  <c r="A149" i="2"/>
  <c r="B115" i="1" s="1"/>
  <c r="A150" i="2"/>
  <c r="A151" i="2"/>
  <c r="B118" i="1" s="1"/>
  <c r="A152" i="2"/>
  <c r="B119" i="1" s="1"/>
  <c r="A153" i="2"/>
  <c r="B120" i="1" s="1"/>
  <c r="A154" i="2"/>
  <c r="B121" i="1" s="1"/>
  <c r="A155" i="2"/>
  <c r="B122" i="1" s="1"/>
  <c r="A156" i="2"/>
  <c r="A157" i="2"/>
  <c r="B125" i="1" s="1"/>
  <c r="A158" i="2"/>
  <c r="B126" i="1" s="1"/>
  <c r="A159" i="2"/>
  <c r="B127" i="1" s="1"/>
  <c r="A160" i="2"/>
  <c r="B128" i="1" s="1"/>
  <c r="A161" i="2"/>
  <c r="B129" i="1" s="1"/>
  <c r="A162" i="2"/>
  <c r="A163" i="2"/>
  <c r="B132" i="1" s="1"/>
  <c r="A164" i="2"/>
  <c r="B133" i="1" s="1"/>
  <c r="A165" i="2"/>
  <c r="B134" i="1" s="1"/>
  <c r="A166" i="2"/>
  <c r="B135" i="1" s="1"/>
  <c r="A167" i="2"/>
  <c r="B57" i="1" s="1"/>
  <c r="A168" i="2"/>
  <c r="B138" i="1" s="1"/>
  <c r="A169" i="2"/>
  <c r="B139" i="1" s="1"/>
  <c r="A170" i="2"/>
  <c r="B140" i="1" s="1"/>
  <c r="A171" i="2"/>
  <c r="B141" i="1" s="1"/>
  <c r="A172" i="2"/>
  <c r="B142" i="1" s="1"/>
  <c r="A173" i="2"/>
  <c r="B143" i="1" s="1"/>
  <c r="A174" i="2"/>
  <c r="B144" i="1" s="1"/>
  <c r="A175" i="2"/>
  <c r="B145" i="1" s="1"/>
  <c r="A176" i="2"/>
  <c r="B146" i="1" s="1"/>
  <c r="A177" i="2"/>
  <c r="B147" i="1" s="1"/>
  <c r="A178" i="2"/>
  <c r="B148" i="1" s="1"/>
  <c r="A179" i="2"/>
  <c r="B149" i="1" s="1"/>
  <c r="A180" i="2"/>
  <c r="B150" i="1" s="1"/>
  <c r="A181" i="2"/>
  <c r="B151" i="1" s="1"/>
  <c r="A182" i="2"/>
  <c r="B152" i="1" s="1"/>
  <c r="A183" i="2"/>
  <c r="A184" i="2"/>
  <c r="B155" i="1" s="1"/>
  <c r="A185" i="2"/>
  <c r="B156" i="1" s="1"/>
  <c r="A186" i="2"/>
  <c r="B157" i="1" s="1"/>
  <c r="A187" i="2"/>
  <c r="B158" i="1" s="1"/>
  <c r="A188" i="2"/>
  <c r="B159" i="1" s="1"/>
  <c r="A189" i="2"/>
  <c r="B160" i="1" s="1"/>
  <c r="A190" i="2"/>
  <c r="A191" i="2"/>
  <c r="B163" i="1" s="1"/>
  <c r="A192" i="2"/>
  <c r="B164" i="1" s="1"/>
  <c r="A193" i="2"/>
  <c r="B165" i="1" s="1"/>
  <c r="A194" i="2"/>
  <c r="B166" i="1" s="1"/>
  <c r="A195" i="2"/>
  <c r="B167" i="1" s="1"/>
  <c r="A196" i="2"/>
  <c r="B168" i="1" s="1"/>
  <c r="A197" i="2"/>
  <c r="B169" i="1" s="1"/>
  <c r="A198" i="2"/>
  <c r="B170" i="1" s="1"/>
  <c r="A199" i="2"/>
  <c r="B171" i="1" s="1"/>
  <c r="A200" i="2"/>
  <c r="B172" i="1" s="1"/>
  <c r="A201" i="2"/>
  <c r="A202" i="2"/>
  <c r="B175" i="1" s="1"/>
  <c r="A203" i="2"/>
  <c r="B176" i="1" s="1"/>
  <c r="A204" i="2"/>
  <c r="B177" i="1" s="1"/>
  <c r="A205" i="2"/>
  <c r="A206" i="2"/>
  <c r="B180" i="1" s="1"/>
  <c r="A207" i="2"/>
  <c r="B181" i="1" s="1"/>
  <c r="A208" i="2"/>
  <c r="B182" i="1" s="1"/>
  <c r="A209" i="2"/>
  <c r="B183" i="1" s="1"/>
  <c r="A210" i="2"/>
  <c r="B185" i="1" s="1"/>
  <c r="A214" i="2"/>
  <c r="B186" i="1" s="1"/>
  <c r="A215" i="2"/>
  <c r="B187" i="1" s="1"/>
  <c r="A216" i="2"/>
  <c r="B188" i="1" s="1"/>
  <c r="A217" i="2"/>
  <c r="B189" i="1" s="1"/>
  <c r="A218" i="2"/>
  <c r="B190" i="1" s="1"/>
  <c r="A219" i="2"/>
  <c r="B191" i="1" s="1"/>
  <c r="A220" i="2"/>
  <c r="B192" i="1" s="1"/>
  <c r="A221" i="2"/>
  <c r="B193" i="1" s="1"/>
  <c r="A222" i="2"/>
  <c r="B194" i="1" s="1"/>
  <c r="A223" i="2"/>
  <c r="B195" i="1" s="1"/>
  <c r="A224" i="2"/>
  <c r="B196" i="1" s="1"/>
  <c r="A225" i="2"/>
  <c r="B197" i="1" s="1"/>
  <c r="A226" i="2"/>
  <c r="B198" i="1" s="1"/>
  <c r="A227" i="2"/>
  <c r="B199" i="1" s="1"/>
  <c r="A228" i="2"/>
  <c r="B200" i="1" s="1"/>
  <c r="A229" i="2"/>
  <c r="B201" i="1" s="1"/>
  <c r="A230" i="2"/>
  <c r="B202" i="1" s="1"/>
  <c r="A231" i="2"/>
  <c r="B203" i="1" s="1"/>
  <c r="A232" i="2"/>
  <c r="B204" i="1" s="1"/>
  <c r="A233" i="2"/>
  <c r="B205" i="1" s="1"/>
  <c r="A234" i="2"/>
  <c r="B206" i="1" s="1"/>
  <c r="A235" i="2"/>
  <c r="B207" i="1" s="1"/>
  <c r="A236" i="2"/>
  <c r="B208" i="1" s="1"/>
  <c r="A237" i="2"/>
  <c r="B209" i="1" s="1"/>
  <c r="A238" i="2"/>
  <c r="B210" i="1" s="1"/>
  <c r="A239" i="2"/>
  <c r="B212" i="1" s="1"/>
  <c r="A240" i="2"/>
  <c r="B213" i="1" s="1"/>
  <c r="A241" i="2"/>
  <c r="B214" i="1" s="1"/>
  <c r="A242" i="2"/>
  <c r="B215" i="1" s="1"/>
  <c r="A243" i="2"/>
  <c r="B216" i="1" s="1"/>
  <c r="A244" i="2"/>
  <c r="B217" i="1" s="1"/>
  <c r="A245" i="2"/>
  <c r="B218" i="1" s="1"/>
  <c r="A246" i="2"/>
  <c r="B219" i="1" s="1"/>
  <c r="A247" i="2"/>
  <c r="B220" i="1" s="1"/>
  <c r="A248" i="2"/>
  <c r="B221" i="1" s="1"/>
  <c r="A249" i="2"/>
  <c r="B222" i="1" s="1"/>
  <c r="A250" i="2"/>
  <c r="B223" i="1" s="1"/>
  <c r="A251" i="2"/>
  <c r="B224" i="1" s="1"/>
  <c r="A252" i="2"/>
  <c r="B225" i="1" s="1"/>
  <c r="A253" i="2"/>
  <c r="B226" i="1" s="1"/>
  <c r="A254" i="2"/>
  <c r="B227" i="1" s="1"/>
  <c r="A255" i="2"/>
  <c r="B228" i="1" s="1"/>
  <c r="A256" i="2"/>
  <c r="B229" i="1" s="1"/>
  <c r="A257" i="2"/>
  <c r="B230" i="1" s="1"/>
  <c r="A258" i="2"/>
  <c r="B231" i="1" s="1"/>
  <c r="A259" i="2"/>
  <c r="B232" i="1" s="1"/>
  <c r="A260" i="2"/>
  <c r="B233" i="1" s="1"/>
  <c r="A261" i="2"/>
  <c r="B234" i="1" s="1"/>
  <c r="A262" i="2"/>
  <c r="B235" i="1" s="1"/>
  <c r="A263" i="2"/>
  <c r="B236" i="1" s="1"/>
  <c r="A264" i="2"/>
  <c r="B237" i="1" s="1"/>
  <c r="A265" i="2"/>
  <c r="B238" i="1" s="1"/>
  <c r="A266" i="2"/>
  <c r="B239" i="1" s="1"/>
  <c r="A267" i="2"/>
  <c r="B240" i="1" s="1"/>
  <c r="A268" i="2"/>
  <c r="B241" i="1" s="1"/>
  <c r="A269" i="2"/>
  <c r="B242" i="1" s="1"/>
  <c r="A270" i="2"/>
  <c r="B243" i="1" s="1"/>
  <c r="A271" i="2"/>
  <c r="B244" i="1" s="1"/>
  <c r="A272" i="2"/>
  <c r="B245" i="1" s="1"/>
  <c r="A273" i="2"/>
  <c r="B246" i="1" s="1"/>
  <c r="A274" i="2"/>
  <c r="B247" i="1" s="1"/>
  <c r="A275" i="2"/>
  <c r="A1" i="43" s="1"/>
  <c r="A283" i="2"/>
  <c r="B1" i="27" s="1"/>
  <c r="A284" i="2"/>
  <c r="B2" i="27" s="1"/>
  <c r="A285" i="2"/>
  <c r="B117" i="27" s="1"/>
  <c r="A286" i="2"/>
  <c r="B131" i="27" s="1"/>
  <c r="A287" i="2"/>
  <c r="B3" i="27" s="1"/>
  <c r="A294" i="2"/>
  <c r="B118" i="27" s="1"/>
  <c r="A295" i="2"/>
  <c r="B133" i="27" s="1"/>
  <c r="A299" i="2"/>
  <c r="B1" i="3" s="1"/>
  <c r="A300" i="2"/>
  <c r="B3" i="3" s="1"/>
  <c r="A301" i="2"/>
  <c r="A302" i="2"/>
  <c r="B5" i="3" s="1"/>
  <c r="A303" i="2"/>
  <c r="B6" i="3" s="1"/>
  <c r="A304" i="2"/>
  <c r="B7" i="3" s="1"/>
  <c r="A305" i="2"/>
  <c r="B8" i="3" s="1"/>
  <c r="A306" i="2"/>
  <c r="B9" i="3" s="1"/>
  <c r="A307" i="2"/>
  <c r="B10" i="3" s="1"/>
  <c r="A308" i="2"/>
  <c r="B11" i="3" s="1"/>
  <c r="A309" i="2"/>
  <c r="B12" i="3" s="1"/>
  <c r="A310" i="2"/>
  <c r="B13" i="3" s="1"/>
  <c r="A311" i="2"/>
  <c r="B15" i="3" s="1"/>
  <c r="A319" i="2"/>
  <c r="B21" i="3" s="1"/>
  <c r="A320" i="2"/>
  <c r="A321" i="2"/>
  <c r="A322" i="2"/>
  <c r="A323" i="2"/>
  <c r="A324" i="2"/>
  <c r="A325" i="2"/>
  <c r="A326" i="2"/>
  <c r="A327" i="2"/>
  <c r="B31" i="3" s="1"/>
  <c r="A328" i="2"/>
  <c r="B32" i="3" s="1"/>
  <c r="A329" i="2"/>
  <c r="B33" i="3" s="1"/>
  <c r="A330" i="2"/>
  <c r="B34" i="3" s="1"/>
  <c r="A331" i="2"/>
  <c r="B35" i="3" s="1"/>
  <c r="A332" i="2"/>
  <c r="B36" i="3" s="1"/>
  <c r="A333" i="2"/>
  <c r="B37" i="3" s="1"/>
  <c r="A334" i="2"/>
  <c r="B38" i="3" s="1"/>
  <c r="A335" i="2"/>
  <c r="B39" i="3" s="1"/>
  <c r="A336" i="2"/>
  <c r="B40" i="3" s="1"/>
  <c r="A337" i="2"/>
  <c r="B41" i="3" s="1"/>
  <c r="A338" i="2"/>
  <c r="B42" i="3" s="1"/>
  <c r="A339" i="2"/>
  <c r="B43" i="3" s="1"/>
  <c r="A340" i="2"/>
  <c r="B44" i="3" s="1"/>
  <c r="A341" i="2"/>
  <c r="B45" i="3" s="1"/>
  <c r="A342" i="2"/>
  <c r="B46" i="3" s="1"/>
  <c r="A343" i="2"/>
  <c r="B47" i="3" s="1"/>
  <c r="A344" i="2"/>
  <c r="B48" i="3" s="1"/>
  <c r="A345" i="2"/>
  <c r="B49" i="3" s="1"/>
  <c r="A346" i="2"/>
  <c r="B50" i="3" s="1"/>
  <c r="A347" i="2"/>
  <c r="B51" i="3" s="1"/>
  <c r="A348" i="2"/>
  <c r="B52" i="3" s="1"/>
  <c r="A349" i="2"/>
  <c r="B53" i="3" s="1"/>
  <c r="A350" i="2"/>
  <c r="B54" i="3" s="1"/>
  <c r="A351" i="2"/>
  <c r="B55" i="3" s="1"/>
  <c r="A352" i="2"/>
  <c r="B56" i="3" s="1"/>
  <c r="A354" i="2"/>
  <c r="B58" i="3" s="1"/>
  <c r="A355" i="2"/>
  <c r="B59" i="3" s="1"/>
  <c r="A356" i="2"/>
  <c r="B60" i="3" s="1"/>
  <c r="A357" i="2"/>
  <c r="B61" i="3" s="1"/>
  <c r="A358" i="2"/>
  <c r="B62" i="3" s="1"/>
  <c r="A359" i="2"/>
  <c r="B63" i="3" s="1"/>
  <c r="A360" i="2"/>
  <c r="B64" i="3" s="1"/>
  <c r="A361" i="2"/>
  <c r="B65" i="3" s="1"/>
  <c r="A362" i="2"/>
  <c r="B66" i="3" s="1"/>
  <c r="A363" i="2"/>
  <c r="B67" i="3" s="1"/>
  <c r="A364" i="2"/>
  <c r="B68" i="3" s="1"/>
  <c r="A365" i="2"/>
  <c r="B69" i="3" s="1"/>
  <c r="A366" i="2"/>
  <c r="B70" i="3" s="1"/>
  <c r="A367" i="2"/>
  <c r="B71" i="3" s="1"/>
  <c r="A368" i="2"/>
  <c r="B72" i="3" s="1"/>
  <c r="A369" i="2"/>
  <c r="B73" i="3" s="1"/>
  <c r="A371" i="2"/>
  <c r="B75" i="3" s="1"/>
  <c r="A372" i="2"/>
  <c r="B76" i="3" s="1"/>
  <c r="A373" i="2"/>
  <c r="B77" i="3" s="1"/>
  <c r="A374" i="2"/>
  <c r="B78" i="3" s="1"/>
  <c r="A375" i="2"/>
  <c r="B79" i="3" s="1"/>
  <c r="A376" i="2"/>
  <c r="B80" i="3" s="1"/>
  <c r="A377" i="2"/>
  <c r="B81" i="3" s="1"/>
  <c r="A378" i="2"/>
  <c r="B82" i="3" s="1"/>
  <c r="A379" i="2"/>
  <c r="B83" i="3" s="1"/>
  <c r="A380" i="2"/>
  <c r="B85" i="3" s="1"/>
  <c r="A381" i="2"/>
  <c r="B86" i="3" s="1"/>
  <c r="A382" i="2"/>
  <c r="B87" i="3" s="1"/>
  <c r="A383" i="2"/>
  <c r="B88" i="3" s="1"/>
  <c r="A384" i="2"/>
  <c r="B89" i="3" s="1"/>
  <c r="A385" i="2"/>
  <c r="B90" i="3" s="1"/>
  <c r="A386" i="2"/>
  <c r="B91" i="3" s="1"/>
  <c r="A387" i="2"/>
  <c r="B92" i="3" s="1"/>
  <c r="A388" i="2"/>
  <c r="B94" i="3" s="1"/>
  <c r="A389" i="2"/>
  <c r="B95" i="3" s="1"/>
  <c r="A390" i="2"/>
  <c r="B96" i="3" s="1"/>
  <c r="A391" i="2"/>
  <c r="B97" i="3" s="1"/>
  <c r="A392" i="2"/>
  <c r="B98" i="3" s="1"/>
  <c r="A393" i="2"/>
  <c r="B99" i="3" s="1"/>
  <c r="A394" i="2"/>
  <c r="B101" i="3" s="1"/>
  <c r="A395" i="2"/>
  <c r="B102" i="3" s="1"/>
  <c r="A396" i="2"/>
  <c r="B103" i="3" s="1"/>
  <c r="A397" i="2"/>
  <c r="B104" i="3" s="1"/>
  <c r="A398" i="2"/>
  <c r="B105" i="3" s="1"/>
  <c r="A399" i="2"/>
  <c r="B106" i="3" s="1"/>
  <c r="A400" i="2"/>
  <c r="B107" i="3" s="1"/>
  <c r="A401" i="2"/>
  <c r="B108" i="3" s="1"/>
  <c r="A402" i="2"/>
  <c r="B110" i="3" s="1"/>
  <c r="A403" i="2"/>
  <c r="B111" i="3" s="1"/>
  <c r="A409" i="2"/>
  <c r="B117" i="3" s="1"/>
  <c r="A410" i="2"/>
  <c r="B119" i="3" s="1"/>
  <c r="A411" i="2"/>
  <c r="B120" i="3" s="1"/>
  <c r="A412" i="2"/>
  <c r="B121" i="3" s="1"/>
  <c r="A413" i="2"/>
  <c r="B122" i="3" s="1"/>
  <c r="A414" i="2"/>
  <c r="B123" i="3" s="1"/>
  <c r="A415" i="2"/>
  <c r="B124" i="3" s="1"/>
  <c r="A416" i="2"/>
  <c r="B125" i="3" s="1"/>
  <c r="A417" i="2"/>
  <c r="B126" i="3" s="1"/>
  <c r="A418" i="2"/>
  <c r="B127" i="3" s="1"/>
  <c r="A419" i="2"/>
  <c r="B128" i="3" s="1"/>
  <c r="A420" i="2"/>
  <c r="B129" i="3" s="1"/>
  <c r="A421" i="2"/>
  <c r="B130" i="3" s="1"/>
  <c r="A422" i="2"/>
  <c r="B131" i="3" s="1"/>
  <c r="A423" i="2"/>
  <c r="B134" i="3" s="1"/>
  <c r="A424" i="2"/>
  <c r="B135" i="3" s="1"/>
  <c r="A425" i="2"/>
  <c r="B136" i="3" s="1"/>
  <c r="A426" i="2"/>
  <c r="B138" i="3" s="1"/>
  <c r="A427" i="2"/>
  <c r="B139" i="3" s="1"/>
  <c r="A428" i="2"/>
  <c r="B140" i="3" s="1"/>
  <c r="A430" i="2"/>
  <c r="B144" i="3" s="1"/>
  <c r="A431" i="2"/>
  <c r="B145" i="3" s="1"/>
  <c r="A432" i="2"/>
  <c r="B146" i="3" s="1"/>
  <c r="A433" i="2"/>
  <c r="B147" i="3" s="1"/>
  <c r="A434" i="2"/>
  <c r="B148" i="3" s="1"/>
  <c r="A435" i="2"/>
  <c r="B149" i="3" s="1"/>
  <c r="A436" i="2"/>
  <c r="B150" i="3" s="1"/>
  <c r="A437" i="2"/>
  <c r="B151" i="3" s="1"/>
  <c r="A438" i="2"/>
  <c r="B152" i="3" s="1"/>
  <c r="A440" i="2"/>
  <c r="B155" i="3" s="1"/>
  <c r="A446" i="2"/>
  <c r="B161" i="3" s="1"/>
  <c r="A447" i="2"/>
  <c r="B162" i="3" s="1"/>
  <c r="A448" i="2"/>
  <c r="B163" i="3" s="1"/>
  <c r="A449" i="2"/>
  <c r="B164" i="3" s="1"/>
  <c r="A450" i="2"/>
  <c r="C21" i="3" s="1"/>
  <c r="A451" i="2"/>
  <c r="E21" i="3" s="1"/>
  <c r="A452" i="2"/>
  <c r="G21" i="3" s="1"/>
  <c r="A453" i="2"/>
  <c r="H1" i="23" s="1"/>
  <c r="H1" i="9" s="1"/>
  <c r="A454" i="2"/>
  <c r="A455" i="2"/>
  <c r="D60" i="3" s="1"/>
  <c r="A456" i="2"/>
  <c r="D86" i="3" s="1"/>
  <c r="D110" i="3" s="1"/>
  <c r="A457" i="2"/>
  <c r="D120" i="3" s="1"/>
  <c r="A458" i="2"/>
  <c r="C133" i="3" s="1"/>
  <c r="A459" i="2"/>
  <c r="D143" i="3" s="1"/>
  <c r="A460" i="2"/>
  <c r="D155" i="3" s="1"/>
  <c r="A461" i="2"/>
  <c r="B1" i="23" s="1"/>
  <c r="A462" i="2"/>
  <c r="B2" i="23" s="1"/>
  <c r="A463" i="2"/>
  <c r="B3" i="23" s="1"/>
  <c r="A464" i="2"/>
  <c r="B4" i="23" s="1"/>
  <c r="A466" i="2"/>
  <c r="B6" i="23" s="1"/>
  <c r="A467" i="2"/>
  <c r="B7" i="23" s="1"/>
  <c r="A468" i="2"/>
  <c r="B8" i="23" s="1"/>
  <c r="A469" i="2"/>
  <c r="B9" i="23" s="1"/>
  <c r="A471" i="2"/>
  <c r="B11" i="23" s="1"/>
  <c r="A472" i="2"/>
  <c r="B12" i="23" s="1"/>
  <c r="A473" i="2"/>
  <c r="B13" i="23" s="1"/>
  <c r="A474" i="2"/>
  <c r="B14" i="23" s="1"/>
  <c r="B134" i="27" s="1"/>
  <c r="A475" i="2"/>
  <c r="B15" i="23" s="1"/>
  <c r="A476" i="2"/>
  <c r="B16" i="23" s="1"/>
  <c r="A478" i="2"/>
  <c r="B18" i="23" s="1"/>
  <c r="A479" i="2"/>
  <c r="B20" i="23" s="1"/>
  <c r="A480" i="2"/>
  <c r="B21" i="23" s="1"/>
  <c r="A481" i="2"/>
  <c r="B22" i="23" s="1"/>
  <c r="A482" i="2"/>
  <c r="B23" i="23" s="1"/>
  <c r="A483" i="2"/>
  <c r="B24" i="23" s="1"/>
  <c r="A484" i="2"/>
  <c r="B25" i="23" s="1"/>
  <c r="A485" i="2"/>
  <c r="B26" i="23" s="1"/>
  <c r="A486" i="2"/>
  <c r="B27" i="23" s="1"/>
  <c r="A487" i="2"/>
  <c r="B28" i="23" s="1"/>
  <c r="A488" i="2"/>
  <c r="B29" i="23" s="1"/>
  <c r="A489" i="2"/>
  <c r="B30" i="23" s="1"/>
  <c r="A490" i="2"/>
  <c r="B31" i="23" s="1"/>
  <c r="A491" i="2"/>
  <c r="B32" i="23" s="1"/>
  <c r="A492" i="2"/>
  <c r="B33" i="23" s="1"/>
  <c r="A493" i="2"/>
  <c r="B34" i="23" s="1"/>
  <c r="A494" i="2"/>
  <c r="B35" i="23" s="1"/>
  <c r="A495" i="2"/>
  <c r="B36" i="23" s="1"/>
  <c r="A496" i="2"/>
  <c r="B37" i="23" s="1"/>
  <c r="A497" i="2"/>
  <c r="B38" i="23" s="1"/>
  <c r="A498" i="2"/>
  <c r="B39" i="23" s="1"/>
  <c r="A499" i="2"/>
  <c r="B40" i="23" s="1"/>
  <c r="B5" i="27" s="1"/>
  <c r="A500" i="2"/>
  <c r="B41" i="23" s="1"/>
  <c r="A501" i="2"/>
  <c r="B42" i="23" s="1"/>
  <c r="A502" i="2"/>
  <c r="B43" i="23" s="1"/>
  <c r="A503" i="2"/>
  <c r="B44" i="23" s="1"/>
  <c r="A504" i="2"/>
  <c r="B45" i="23" s="1"/>
  <c r="A505" i="2"/>
  <c r="B46" i="23" s="1"/>
  <c r="A506" i="2"/>
  <c r="B47" i="23" s="1"/>
  <c r="A507" i="2"/>
  <c r="B48" i="23" s="1"/>
  <c r="A508" i="2"/>
  <c r="B49" i="23" s="1"/>
  <c r="A509" i="2"/>
  <c r="B50" i="23" s="1"/>
  <c r="A510" i="2"/>
  <c r="B51" i="23" s="1"/>
  <c r="A511" i="2"/>
  <c r="B52" i="23" s="1"/>
  <c r="A512" i="2"/>
  <c r="B53" i="23" s="1"/>
  <c r="A513" i="2"/>
  <c r="B54" i="23" s="1"/>
  <c r="A514" i="2"/>
  <c r="B55" i="23" s="1"/>
  <c r="A515" i="2"/>
  <c r="B56" i="23" s="1"/>
  <c r="A516" i="2"/>
  <c r="B57" i="23" s="1"/>
  <c r="A517" i="2"/>
  <c r="B58" i="23" s="1"/>
  <c r="A518" i="2"/>
  <c r="B59" i="23" s="1"/>
  <c r="A519" i="2"/>
  <c r="B60" i="23" s="1"/>
  <c r="A520" i="2"/>
  <c r="B61" i="23" s="1"/>
  <c r="A521" i="2"/>
  <c r="B62" i="23" s="1"/>
  <c r="A523" i="2"/>
  <c r="B64" i="23" s="1"/>
  <c r="B7" i="27" s="1"/>
  <c r="A524" i="2"/>
  <c r="B65" i="23" s="1"/>
  <c r="A525" i="2"/>
  <c r="B66" i="23" s="1"/>
  <c r="A526" i="2"/>
  <c r="B67" i="23" s="1"/>
  <c r="A527" i="2"/>
  <c r="B68" i="23" s="1"/>
  <c r="A528" i="2"/>
  <c r="B69" i="23" s="1"/>
  <c r="A529" i="2"/>
  <c r="B70" i="23" s="1"/>
  <c r="A530" i="2"/>
  <c r="B71" i="23" s="1"/>
  <c r="A531" i="2"/>
  <c r="B72" i="23" s="1"/>
  <c r="A532" i="2"/>
  <c r="B73" i="23" s="1"/>
  <c r="A533" i="2"/>
  <c r="B74" i="23" s="1"/>
  <c r="A534" i="2"/>
  <c r="B75" i="23" s="1"/>
  <c r="A535" i="2"/>
  <c r="B76" i="23" s="1"/>
  <c r="A536" i="2"/>
  <c r="B77" i="23" s="1"/>
  <c r="A537" i="2"/>
  <c r="B78" i="23" s="1"/>
  <c r="A538" i="2"/>
  <c r="B79" i="23" s="1"/>
  <c r="A539" i="2"/>
  <c r="B82" i="23" s="1"/>
  <c r="A540" i="2"/>
  <c r="B83" i="23" s="1"/>
  <c r="A541" i="2"/>
  <c r="B84" i="23" s="1"/>
  <c r="A542" i="2"/>
  <c r="B85" i="23" s="1"/>
  <c r="A543" i="2"/>
  <c r="B86" i="23" s="1"/>
  <c r="A544" i="2"/>
  <c r="B87" i="23" s="1"/>
  <c r="A545" i="2"/>
  <c r="B88" i="23" s="1"/>
  <c r="A546" i="2"/>
  <c r="B89" i="23" s="1"/>
  <c r="A547" i="2"/>
  <c r="B90" i="23" s="1"/>
  <c r="A548" i="2"/>
  <c r="B91" i="23" s="1"/>
  <c r="A549" i="2"/>
  <c r="B92" i="23" s="1"/>
  <c r="A550" i="2"/>
  <c r="B93" i="23" s="1"/>
  <c r="A551" i="2"/>
  <c r="B94" i="23" s="1"/>
  <c r="A552" i="2"/>
  <c r="B95" i="23" s="1"/>
  <c r="A553" i="2"/>
  <c r="B96" i="23" s="1"/>
  <c r="A554" i="2"/>
  <c r="B97" i="23" s="1"/>
  <c r="A555" i="2"/>
  <c r="B98" i="23" s="1"/>
  <c r="A556" i="2"/>
  <c r="B99" i="23" s="1"/>
  <c r="A557" i="2"/>
  <c r="B100" i="23" s="1"/>
  <c r="A558" i="2"/>
  <c r="B101" i="23" s="1"/>
  <c r="A559" i="2"/>
  <c r="B102" i="23" s="1"/>
  <c r="A560" i="2"/>
  <c r="B103" i="23" s="1"/>
  <c r="A561" i="2"/>
  <c r="B104" i="23" s="1"/>
  <c r="A562" i="2"/>
  <c r="B105" i="23" s="1"/>
  <c r="A563" i="2"/>
  <c r="B106" i="23" s="1"/>
  <c r="A564" i="2"/>
  <c r="B107" i="23" s="1"/>
  <c r="A565" i="2"/>
  <c r="B108" i="23" s="1"/>
  <c r="A566" i="2"/>
  <c r="B109" i="23" s="1"/>
  <c r="A567" i="2"/>
  <c r="B110" i="23" s="1"/>
  <c r="A568" i="2"/>
  <c r="B111" i="23" s="1"/>
  <c r="A569" i="2"/>
  <c r="B112" i="23" s="1"/>
  <c r="A570" i="2"/>
  <c r="B113" i="23" s="1"/>
  <c r="A571" i="2"/>
  <c r="B114" i="23" s="1"/>
  <c r="A572" i="2"/>
  <c r="B115" i="23" s="1"/>
  <c r="A573" i="2"/>
  <c r="B116" i="23" s="1"/>
  <c r="A574" i="2"/>
  <c r="B117" i="23" s="1"/>
  <c r="A575" i="2"/>
  <c r="B118" i="23" s="1"/>
  <c r="A576" i="2"/>
  <c r="B119" i="23" s="1"/>
  <c r="A577" i="2"/>
  <c r="B120" i="23" s="1"/>
  <c r="A578" i="2"/>
  <c r="B121" i="23" s="1"/>
  <c r="A579" i="2"/>
  <c r="B122" i="23" s="1"/>
  <c r="A580" i="2"/>
  <c r="B123" i="23" s="1"/>
  <c r="A581" i="2"/>
  <c r="B124" i="23" s="1"/>
  <c r="A582" i="2"/>
  <c r="B125" i="23" s="1"/>
  <c r="A583" i="2"/>
  <c r="B126" i="23" s="1"/>
  <c r="A584" i="2"/>
  <c r="B127" i="23" s="1"/>
  <c r="A585" i="2"/>
  <c r="B128" i="23" s="1"/>
  <c r="A586" i="2"/>
  <c r="B129" i="23" s="1"/>
  <c r="A587" i="2"/>
  <c r="B130" i="23" s="1"/>
  <c r="A588" i="2"/>
  <c r="B131" i="23" s="1"/>
  <c r="A589" i="2"/>
  <c r="B132" i="23" s="1"/>
  <c r="A590" i="2"/>
  <c r="B133" i="23" s="1"/>
  <c r="A591" i="2"/>
  <c r="B134" i="23" s="1"/>
  <c r="A592" i="2"/>
  <c r="B135" i="23" s="1"/>
  <c r="A593" i="2"/>
  <c r="B136" i="23" s="1"/>
  <c r="A594" i="2"/>
  <c r="B137" i="23" s="1"/>
  <c r="A595" i="2"/>
  <c r="B138" i="23" s="1"/>
  <c r="A596" i="2"/>
  <c r="B139" i="23" s="1"/>
  <c r="A597" i="2"/>
  <c r="B140" i="23" s="1"/>
  <c r="A598" i="2"/>
  <c r="B141" i="23" s="1"/>
  <c r="A599" i="2"/>
  <c r="B142" i="23" s="1"/>
  <c r="A600" i="2"/>
  <c r="B143" i="23" s="1"/>
  <c r="A601" i="2"/>
  <c r="B144" i="23" s="1"/>
  <c r="A602" i="2"/>
  <c r="B145" i="23" s="1"/>
  <c r="A603" i="2"/>
  <c r="B146" i="23" s="1"/>
  <c r="A604" i="2"/>
  <c r="B147" i="23" s="1"/>
  <c r="A605" i="2"/>
  <c r="B148" i="23" s="1"/>
  <c r="A606" i="2"/>
  <c r="B149" i="23" s="1"/>
  <c r="A607" i="2"/>
  <c r="B150" i="23" s="1"/>
  <c r="A608" i="2"/>
  <c r="B151" i="23" s="1"/>
  <c r="A609" i="2"/>
  <c r="B152" i="23" s="1"/>
  <c r="A610" i="2"/>
  <c r="B153" i="23" s="1"/>
  <c r="A611" i="2"/>
  <c r="B154" i="23" s="1"/>
  <c r="A612" i="2"/>
  <c r="B155" i="23" s="1"/>
  <c r="A613" i="2"/>
  <c r="B156" i="23" s="1"/>
  <c r="B136" i="27" s="1"/>
  <c r="A614" i="2"/>
  <c r="B157" i="23" s="1"/>
  <c r="A615" i="2"/>
  <c r="B158" i="23" s="1"/>
  <c r="A616" i="2"/>
  <c r="B159" i="23" s="1"/>
  <c r="A617" i="2"/>
  <c r="B160" i="23" s="1"/>
  <c r="A618" i="2"/>
  <c r="B161" i="23" s="1"/>
  <c r="A619" i="2"/>
  <c r="B162" i="23" s="1"/>
  <c r="A620" i="2"/>
  <c r="B163" i="23" s="1"/>
  <c r="A621" i="2"/>
  <c r="B164" i="23" s="1"/>
  <c r="A622" i="2"/>
  <c r="B165" i="23" s="1"/>
  <c r="A623" i="2"/>
  <c r="B166" i="23" s="1"/>
  <c r="A624" i="2"/>
  <c r="B167" i="23" s="1"/>
  <c r="A625" i="2"/>
  <c r="B168" i="23" s="1"/>
  <c r="B137" i="27" s="1"/>
  <c r="A626" i="2"/>
  <c r="B169" i="23" s="1"/>
  <c r="A627" i="2"/>
  <c r="B170" i="23" s="1"/>
  <c r="A628" i="2"/>
  <c r="B171" i="23" s="1"/>
  <c r="A629" i="2"/>
  <c r="B172" i="23" s="1"/>
  <c r="A630" i="2"/>
  <c r="B173" i="23" s="1"/>
  <c r="A631" i="2"/>
  <c r="C21" i="23" s="1"/>
  <c r="A632" i="2"/>
  <c r="H21" i="23" s="1"/>
  <c r="A633" i="2"/>
  <c r="H79" i="23" s="1"/>
  <c r="A634" i="2"/>
  <c r="H80" i="23" s="1"/>
  <c r="A635" i="2"/>
  <c r="H121" i="23" s="1"/>
  <c r="H128" i="23" s="1"/>
  <c r="A636" i="2"/>
  <c r="H135" i="23" s="1"/>
  <c r="H149" i="23" s="1"/>
  <c r="A637" i="2"/>
  <c r="B1" i="32" s="1"/>
  <c r="A638" i="2"/>
  <c r="B2" i="32" s="1"/>
  <c r="A639" i="2"/>
  <c r="B3" i="32" s="1"/>
  <c r="A640" i="2"/>
  <c r="B4" i="32" s="1"/>
  <c r="A641" i="2"/>
  <c r="B5" i="32" s="1"/>
  <c r="A642" i="2"/>
  <c r="B6" i="32" s="1"/>
  <c r="B138" i="27" s="1"/>
  <c r="A644" i="2"/>
  <c r="B7" i="32" s="1"/>
  <c r="A645" i="2"/>
  <c r="B8" i="32" s="1"/>
  <c r="A646" i="2"/>
  <c r="B9" i="32" s="1"/>
  <c r="A647" i="2"/>
  <c r="B10" i="32" s="1"/>
  <c r="A648" i="2"/>
  <c r="B11" i="32" s="1"/>
  <c r="A649" i="2"/>
  <c r="B12" i="32" s="1"/>
  <c r="A650" i="2"/>
  <c r="B13" i="32" s="1"/>
  <c r="B14" i="32"/>
  <c r="A652" i="2"/>
  <c r="B15" i="32" s="1"/>
  <c r="A653" i="2"/>
  <c r="B16" i="32" s="1"/>
  <c r="A654" i="2"/>
  <c r="B18" i="32" s="1"/>
  <c r="A655" i="2"/>
  <c r="B19" i="32" s="1"/>
  <c r="A656" i="2"/>
  <c r="B20" i="32" s="1"/>
  <c r="A657" i="2"/>
  <c r="B21" i="32" s="1"/>
  <c r="A658" i="2"/>
  <c r="B22" i="32" s="1"/>
  <c r="A659" i="2"/>
  <c r="B23" i="32" s="1"/>
  <c r="A660" i="2"/>
  <c r="B24" i="32" s="1"/>
  <c r="A661" i="2"/>
  <c r="B25" i="32" s="1"/>
  <c r="A662" i="2"/>
  <c r="B26" i="32" s="1"/>
  <c r="A663" i="2"/>
  <c r="B27" i="32" s="1"/>
  <c r="A664" i="2"/>
  <c r="B29" i="32" s="1"/>
  <c r="A665" i="2"/>
  <c r="B30" i="32" s="1"/>
  <c r="A666" i="2"/>
  <c r="B31" i="32" s="1"/>
  <c r="A667" i="2"/>
  <c r="B32" i="32" s="1"/>
  <c r="A668" i="2"/>
  <c r="B33" i="32" s="1"/>
  <c r="A669" i="2"/>
  <c r="B34" i="32" s="1"/>
  <c r="A670" i="2"/>
  <c r="B35" i="32" s="1"/>
  <c r="A671" i="2"/>
  <c r="B36" i="32" s="1"/>
  <c r="A672" i="2"/>
  <c r="B37" i="32" s="1"/>
  <c r="A673" i="2"/>
  <c r="B38" i="32" s="1"/>
  <c r="A674" i="2"/>
  <c r="B39" i="32" s="1"/>
  <c r="A675" i="2"/>
  <c r="B40" i="32" s="1"/>
  <c r="A676" i="2"/>
  <c r="B41" i="32" s="1"/>
  <c r="A677" i="2"/>
  <c r="B43" i="32" s="1"/>
  <c r="A678" i="2"/>
  <c r="B44" i="32" s="1"/>
  <c r="A679" i="2"/>
  <c r="B45" i="32" s="1"/>
  <c r="A680" i="2"/>
  <c r="B46" i="32" s="1"/>
  <c r="A681" i="2"/>
  <c r="B47" i="32" s="1"/>
  <c r="A682" i="2"/>
  <c r="B48" i="32" s="1"/>
  <c r="A683" i="2"/>
  <c r="B49" i="32" s="1"/>
  <c r="A684" i="2"/>
  <c r="B50" i="32" s="1"/>
  <c r="A685" i="2"/>
  <c r="B51" i="32" s="1"/>
  <c r="A686" i="2"/>
  <c r="B52" i="32" s="1"/>
  <c r="A687" i="2"/>
  <c r="B53" i="32" s="1"/>
  <c r="A688" i="2"/>
  <c r="B54" i="32" s="1"/>
  <c r="B8" i="27" s="1"/>
  <c r="A689" i="2"/>
  <c r="B55" i="32" s="1"/>
  <c r="B9" i="27" s="1"/>
  <c r="A690" i="2"/>
  <c r="B57" i="32" s="1"/>
  <c r="A691" i="2"/>
  <c r="B58" i="32" s="1"/>
  <c r="A692" i="2"/>
  <c r="B59" i="32" s="1"/>
  <c r="A693" i="2"/>
  <c r="B60" i="32" s="1"/>
  <c r="A694" i="2"/>
  <c r="B61" i="32" s="1"/>
  <c r="A695" i="2"/>
  <c r="B62" i="32" s="1"/>
  <c r="A696" i="2"/>
  <c r="B63" i="32" s="1"/>
  <c r="A697" i="2"/>
  <c r="B65" i="32" s="1"/>
  <c r="A698" i="2"/>
  <c r="B66" i="32" s="1"/>
  <c r="A699" i="2"/>
  <c r="B67" i="32" s="1"/>
  <c r="A700" i="2"/>
  <c r="B68" i="32" s="1"/>
  <c r="A701" i="2"/>
  <c r="B69" i="32" s="1"/>
  <c r="A702" i="2"/>
  <c r="B70" i="32" s="1"/>
  <c r="A703" i="2"/>
  <c r="B71" i="32" s="1"/>
  <c r="A704" i="2"/>
  <c r="B72" i="32" s="1"/>
  <c r="A705" i="2"/>
  <c r="B73" i="32" s="1"/>
  <c r="B139" i="27" s="1"/>
  <c r="A706" i="2"/>
  <c r="B74" i="32" s="1"/>
  <c r="A707" i="2"/>
  <c r="B75" i="32" s="1"/>
  <c r="A708" i="2"/>
  <c r="B76" i="32" s="1"/>
  <c r="A709" i="2"/>
  <c r="B77" i="32" s="1"/>
  <c r="A710" i="2"/>
  <c r="B78" i="32" s="1"/>
  <c r="A711" i="2"/>
  <c r="B79" i="32" s="1"/>
  <c r="A712" i="2"/>
  <c r="B80" i="32" s="1"/>
  <c r="A713" i="2"/>
  <c r="B1" i="30" s="1"/>
  <c r="A714" i="2"/>
  <c r="B2" i="30" s="1"/>
  <c r="A715" i="2"/>
  <c r="B4" i="30" s="1"/>
  <c r="A716" i="2"/>
  <c r="B5" i="30" s="1"/>
  <c r="B140" i="27" s="1"/>
  <c r="A717" i="2"/>
  <c r="B6" i="30" s="1"/>
  <c r="B141" i="27" s="1"/>
  <c r="A718" i="2"/>
  <c r="B7" i="30" s="1"/>
  <c r="B142" i="27" s="1"/>
  <c r="A719" i="2"/>
  <c r="B8" i="30" s="1"/>
  <c r="B143" i="27" s="1"/>
  <c r="A720" i="2"/>
  <c r="B9" i="30" s="1"/>
  <c r="B10" i="27" s="1"/>
  <c r="A721" i="2"/>
  <c r="B10" i="30" s="1"/>
  <c r="B11" i="27" s="1"/>
  <c r="A722" i="2"/>
  <c r="B11" i="30" s="1"/>
  <c r="B12" i="27" s="1"/>
  <c r="A723" i="2"/>
  <c r="B13" i="30" s="1"/>
  <c r="A724" i="2"/>
  <c r="B14" i="30" s="1"/>
  <c r="A725" i="2"/>
  <c r="B15" i="30" s="1"/>
  <c r="A726" i="2"/>
  <c r="B16" i="30" s="1"/>
  <c r="A727" i="2"/>
  <c r="B17" i="30" s="1"/>
  <c r="A728" i="2"/>
  <c r="B18" i="30" s="1"/>
  <c r="A729" i="2"/>
  <c r="B19" i="30" s="1"/>
  <c r="A730" i="2"/>
  <c r="B20" i="30" s="1"/>
  <c r="A731" i="2"/>
  <c r="B21" i="30" s="1"/>
  <c r="A732" i="2"/>
  <c r="B22" i="30" s="1"/>
  <c r="A733" i="2"/>
  <c r="B23" i="30" s="1"/>
  <c r="A734" i="2"/>
  <c r="B24" i="30" s="1"/>
  <c r="A735" i="2"/>
  <c r="B25" i="30" s="1"/>
  <c r="A736" i="2"/>
  <c r="B27" i="30" s="1"/>
  <c r="A737" i="2"/>
  <c r="B28" i="30" s="1"/>
  <c r="A738" i="2"/>
  <c r="B29" i="30" s="1"/>
  <c r="A739" i="2"/>
  <c r="B30" i="30" s="1"/>
  <c r="A740" i="2"/>
  <c r="B31" i="30" s="1"/>
  <c r="A741" i="2"/>
  <c r="B32" i="30" s="1"/>
  <c r="A742" i="2"/>
  <c r="B33" i="30" s="1"/>
  <c r="A743" i="2"/>
  <c r="B34" i="30" s="1"/>
  <c r="A744" i="2"/>
  <c r="B35" i="30" s="1"/>
  <c r="A745" i="2"/>
  <c r="B36" i="30" s="1"/>
  <c r="A746" i="2"/>
  <c r="B37" i="30" s="1"/>
  <c r="A747" i="2"/>
  <c r="B38" i="30" s="1"/>
  <c r="A748" i="2"/>
  <c r="B39" i="30" s="1"/>
  <c r="A749" i="2"/>
  <c r="B40" i="30" s="1"/>
  <c r="A750" i="2"/>
  <c r="B41" i="30" s="1"/>
  <c r="A751" i="2"/>
  <c r="B43" i="30" s="1"/>
  <c r="A752" i="2"/>
  <c r="B44" i="30" s="1"/>
  <c r="A753" i="2"/>
  <c r="B45" i="30" s="1"/>
  <c r="A754" i="2"/>
  <c r="B46" i="30" s="1"/>
  <c r="A755" i="2"/>
  <c r="B47" i="30" s="1"/>
  <c r="A756" i="2"/>
  <c r="B48" i="30" s="1"/>
  <c r="A757" i="2"/>
  <c r="B49" i="30" s="1"/>
  <c r="A758" i="2"/>
  <c r="B50" i="30" s="1"/>
  <c r="A759" i="2"/>
  <c r="B51" i="30" s="1"/>
  <c r="A760" i="2"/>
  <c r="B52" i="30" s="1"/>
  <c r="A761" i="2"/>
  <c r="B53" i="30" s="1"/>
  <c r="A762" i="2"/>
  <c r="B54" i="30" s="1"/>
  <c r="A763" i="2"/>
  <c r="B55" i="30" s="1"/>
  <c r="A764" i="2"/>
  <c r="B56" i="30" s="1"/>
  <c r="A765" i="2"/>
  <c r="B57" i="30" s="1"/>
  <c r="A766" i="2"/>
  <c r="B58" i="30" s="1"/>
  <c r="A767" i="2"/>
  <c r="B59" i="30" s="1"/>
  <c r="A768" i="2"/>
  <c r="B60" i="30" s="1"/>
  <c r="A769" i="2"/>
  <c r="B61" i="30" s="1"/>
  <c r="A770" i="2"/>
  <c r="B62" i="30" s="1"/>
  <c r="A771" i="2"/>
  <c r="B63" i="30" s="1"/>
  <c r="A772" i="2"/>
  <c r="B64" i="30" s="1"/>
  <c r="A773" i="2"/>
  <c r="B65" i="30" s="1"/>
  <c r="A774" i="2"/>
  <c r="B66" i="30" s="1"/>
  <c r="A775" i="2"/>
  <c r="B68" i="30" s="1"/>
  <c r="A776" i="2"/>
  <c r="B69" i="30" s="1"/>
  <c r="A777" i="2"/>
  <c r="B70" i="30" s="1"/>
  <c r="A778" i="2"/>
  <c r="B71" i="30" s="1"/>
  <c r="A779" i="2"/>
  <c r="B72" i="30" s="1"/>
  <c r="A780" i="2"/>
  <c r="B73" i="30" s="1"/>
  <c r="A781" i="2"/>
  <c r="B74" i="30" s="1"/>
  <c r="A782" i="2"/>
  <c r="B75" i="30" s="1"/>
  <c r="A783" i="2"/>
  <c r="B76" i="30" s="1"/>
  <c r="A784" i="2"/>
  <c r="B77" i="30" s="1"/>
  <c r="A785" i="2"/>
  <c r="B78" i="30" s="1"/>
  <c r="A786" i="2"/>
  <c r="B80" i="30" s="1"/>
  <c r="A787" i="2"/>
  <c r="B81" i="30" s="1"/>
  <c r="B13" i="27" s="1"/>
  <c r="A788" i="2"/>
  <c r="B82" i="30" s="1"/>
  <c r="A789" i="2"/>
  <c r="B83" i="30" s="1"/>
  <c r="A790" i="2"/>
  <c r="B84" i="30" s="1"/>
  <c r="A791" i="2"/>
  <c r="B85" i="30" s="1"/>
  <c r="A792" i="2"/>
  <c r="B86" i="30" s="1"/>
  <c r="A793" i="2"/>
  <c r="B87" i="30" s="1"/>
  <c r="B144" i="27" s="1"/>
  <c r="A794" i="2"/>
  <c r="B88" i="30" s="1"/>
  <c r="B145" i="27" s="1"/>
  <c r="A795" i="2"/>
  <c r="B90" i="30" s="1"/>
  <c r="A796" i="2"/>
  <c r="B91" i="30" s="1"/>
  <c r="A797" i="2"/>
  <c r="B92" i="30" s="1"/>
  <c r="A798" i="2"/>
  <c r="B93" i="30" s="1"/>
  <c r="A799" i="2"/>
  <c r="B94" i="30" s="1"/>
  <c r="A801" i="2"/>
  <c r="B96" i="30" s="1"/>
  <c r="A802" i="2"/>
  <c r="B97" i="30" s="1"/>
  <c r="A803" i="2"/>
  <c r="B98" i="30" s="1"/>
  <c r="A804" i="2"/>
  <c r="B99" i="30" s="1"/>
  <c r="A805" i="2"/>
  <c r="B100" i="30" s="1"/>
  <c r="A806" i="2"/>
  <c r="B101" i="30" s="1"/>
  <c r="A807" i="2"/>
  <c r="B102" i="30" s="1"/>
  <c r="A808" i="2"/>
  <c r="B103" i="30" s="1"/>
  <c r="A809" i="2"/>
  <c r="B104" i="30" s="1"/>
  <c r="A810" i="2"/>
  <c r="B105" i="30" s="1"/>
  <c r="A811" i="2"/>
  <c r="B106" i="30" s="1"/>
  <c r="A812" i="2"/>
  <c r="B107" i="30" s="1"/>
  <c r="A813" i="2"/>
  <c r="B108" i="30" s="1"/>
  <c r="A814" i="2"/>
  <c r="B109" i="30" s="1"/>
  <c r="A815" i="2"/>
  <c r="B110" i="30" s="1"/>
  <c r="A816" i="2"/>
  <c r="B111" i="30" s="1"/>
  <c r="A817" i="2"/>
  <c r="B112" i="30" s="1"/>
  <c r="A818" i="2"/>
  <c r="B113" i="30" s="1"/>
  <c r="A819" i="2"/>
  <c r="B1" i="20" s="1"/>
  <c r="A820" i="2"/>
  <c r="B2" i="20" s="1"/>
  <c r="A821" i="2"/>
  <c r="B3" i="20" s="1"/>
  <c r="A822" i="2"/>
  <c r="B4" i="20" s="1"/>
  <c r="A823" i="2"/>
  <c r="B5" i="20" s="1"/>
  <c r="A824" i="2"/>
  <c r="B6" i="20" s="1"/>
  <c r="B119" i="27" s="1"/>
  <c r="A825" i="2"/>
  <c r="B7" i="20" s="1"/>
  <c r="A826" i="2"/>
  <c r="B8" i="20" s="1"/>
  <c r="A827" i="2"/>
  <c r="B9" i="20" s="1"/>
  <c r="A828" i="2"/>
  <c r="B10" i="20" s="1"/>
  <c r="A829" i="2"/>
  <c r="B11" i="20" s="1"/>
  <c r="A830" i="2"/>
  <c r="B12" i="20" s="1"/>
  <c r="B120" i="27" s="1"/>
  <c r="A831" i="2"/>
  <c r="B13" i="20" s="1"/>
  <c r="A832" i="2"/>
  <c r="B14" i="20" s="1"/>
  <c r="A833" i="2"/>
  <c r="B15" i="20" s="1"/>
  <c r="A834" i="2"/>
  <c r="B16" i="20" s="1"/>
  <c r="A835" i="2"/>
  <c r="B17" i="20" s="1"/>
  <c r="A836" i="2"/>
  <c r="B18" i="20" s="1"/>
  <c r="A837" i="2"/>
  <c r="B19" i="20" s="1"/>
  <c r="A838" i="2"/>
  <c r="B21" i="20" s="1"/>
  <c r="A839" i="2"/>
  <c r="B22" i="20" s="1"/>
  <c r="B146" i="27" s="1"/>
  <c r="A840" i="2"/>
  <c r="B23" i="20" s="1"/>
  <c r="B147" i="27" s="1"/>
  <c r="A841" i="2"/>
  <c r="B24" i="20" s="1"/>
  <c r="A842" i="2"/>
  <c r="B25" i="20" s="1"/>
  <c r="A843" i="2"/>
  <c r="B26" i="20" s="1"/>
  <c r="A844" i="2"/>
  <c r="B27" i="20" s="1"/>
  <c r="A845" i="2"/>
  <c r="B28" i="20" s="1"/>
  <c r="A846" i="2"/>
  <c r="B29" i="20" s="1"/>
  <c r="A847" i="2"/>
  <c r="B30" i="20" s="1"/>
  <c r="A848" i="2"/>
  <c r="B31" i="20" s="1"/>
  <c r="A849" i="2"/>
  <c r="B32" i="20" s="1"/>
  <c r="A850" i="2"/>
  <c r="B33" i="20" s="1"/>
  <c r="A851" i="2"/>
  <c r="B34" i="20" s="1"/>
  <c r="A852" i="2"/>
  <c r="B35" i="20" s="1"/>
  <c r="A853" i="2"/>
  <c r="B36" i="20" s="1"/>
  <c r="A854" i="2"/>
  <c r="B37" i="20" s="1"/>
  <c r="A855" i="2"/>
  <c r="B38" i="20" s="1"/>
  <c r="A856" i="2"/>
  <c r="B39" i="20" s="1"/>
  <c r="B121" i="27" s="1"/>
  <c r="A857" i="2"/>
  <c r="B40" i="20" s="1"/>
  <c r="A858" i="2"/>
  <c r="B41" i="20" s="1"/>
  <c r="B14" i="27" s="1"/>
  <c r="A859" i="2"/>
  <c r="B42" i="20" s="1"/>
  <c r="B15" i="27" s="1"/>
  <c r="A860" i="2"/>
  <c r="B43" i="20" s="1"/>
  <c r="A861" i="2"/>
  <c r="B44" i="20" s="1"/>
  <c r="A862" i="2"/>
  <c r="B45" i="20" s="1"/>
  <c r="A863" i="2"/>
  <c r="B46" i="20" s="1"/>
  <c r="A864" i="2"/>
  <c r="B47" i="20" s="1"/>
  <c r="B148" i="27" s="1"/>
  <c r="A865" i="2"/>
  <c r="B48" i="20" s="1"/>
  <c r="A866" i="2"/>
  <c r="B49" i="20" s="1"/>
  <c r="A867" i="2"/>
  <c r="B50" i="20" s="1"/>
  <c r="A868" i="2"/>
  <c r="B51" i="20" s="1"/>
  <c r="A869" i="2"/>
  <c r="B52" i="20" s="1"/>
  <c r="A870" i="2"/>
  <c r="B53" i="20" s="1"/>
  <c r="A871" i="2"/>
  <c r="B54" i="20" s="1"/>
  <c r="A872" i="2"/>
  <c r="B55" i="20" s="1"/>
  <c r="A873" i="2"/>
  <c r="B56" i="20" s="1"/>
  <c r="A874" i="2"/>
  <c r="B57" i="20" s="1"/>
  <c r="B149" i="27" s="1"/>
  <c r="A875" i="2"/>
  <c r="B58" i="20" s="1"/>
  <c r="A876" i="2"/>
  <c r="B59" i="20" s="1"/>
  <c r="A877" i="2"/>
  <c r="B60" i="20" s="1"/>
  <c r="A878" i="2"/>
  <c r="B61" i="20" s="1"/>
  <c r="A879" i="2"/>
  <c r="B62" i="20" s="1"/>
  <c r="A880" i="2"/>
  <c r="B63" i="20" s="1"/>
  <c r="A881" i="2"/>
  <c r="B64" i="20" s="1"/>
  <c r="A882" i="2"/>
  <c r="B65" i="20" s="1"/>
  <c r="B122" i="27" s="1"/>
  <c r="A883" i="2"/>
  <c r="B66" i="20" s="1"/>
  <c r="A884" i="2"/>
  <c r="B67" i="20" s="1"/>
  <c r="A885" i="2"/>
  <c r="B1" i="33" s="1"/>
  <c r="A886" i="2"/>
  <c r="B3" i="33" s="1"/>
  <c r="A887" i="2"/>
  <c r="B4" i="33" s="1"/>
  <c r="A888" i="2"/>
  <c r="B5" i="33" s="1"/>
  <c r="A889" i="2"/>
  <c r="B6" i="33" s="1"/>
  <c r="A890" i="2"/>
  <c r="B7" i="33" s="1"/>
  <c r="A891" i="2"/>
  <c r="B8" i="33" s="1"/>
  <c r="A892" i="2"/>
  <c r="B9" i="33" s="1"/>
  <c r="A893" i="2"/>
  <c r="B10" i="33" s="1"/>
  <c r="A894" i="2"/>
  <c r="B11" i="33" s="1"/>
  <c r="A895" i="2"/>
  <c r="B12" i="33" s="1"/>
  <c r="A896" i="2"/>
  <c r="B13" i="33" s="1"/>
  <c r="A897" i="2"/>
  <c r="B14" i="33" s="1"/>
  <c r="A898" i="2"/>
  <c r="B15" i="33" s="1"/>
  <c r="A899" i="2"/>
  <c r="B16" i="33" s="1"/>
  <c r="A900" i="2"/>
  <c r="B17" i="33" s="1"/>
  <c r="A901" i="2"/>
  <c r="B18" i="33" s="1"/>
  <c r="A902" i="2"/>
  <c r="B19" i="33" s="1"/>
  <c r="A903" i="2"/>
  <c r="B20" i="33" s="1"/>
  <c r="A904" i="2"/>
  <c r="B21" i="33" s="1"/>
  <c r="A905" i="2"/>
  <c r="B22" i="33" s="1"/>
  <c r="A906" i="2"/>
  <c r="B23" i="33" s="1"/>
  <c r="A907" i="2"/>
  <c r="B24" i="33" s="1"/>
  <c r="A908" i="2"/>
  <c r="B25" i="33" s="1"/>
  <c r="A909" i="2"/>
  <c r="B26" i="33" s="1"/>
  <c r="A910" i="2"/>
  <c r="B27" i="33" s="1"/>
  <c r="A911" i="2"/>
  <c r="B28" i="33" s="1"/>
  <c r="A912" i="2"/>
  <c r="B29" i="33" s="1"/>
  <c r="A913" i="2"/>
  <c r="B30" i="33" s="1"/>
  <c r="A914" i="2"/>
  <c r="B31" i="33" s="1"/>
  <c r="A915" i="2"/>
  <c r="B32" i="33" s="1"/>
  <c r="A916" i="2"/>
  <c r="B33" i="33" s="1"/>
  <c r="A917" i="2"/>
  <c r="B34" i="33" s="1"/>
  <c r="A918" i="2"/>
  <c r="B35" i="33" s="1"/>
  <c r="A919" i="2"/>
  <c r="B36" i="33" s="1"/>
  <c r="A920" i="2"/>
  <c r="B37" i="33" s="1"/>
  <c r="A921" i="2"/>
  <c r="B38" i="33" s="1"/>
  <c r="A922" i="2"/>
  <c r="B39" i="33" s="1"/>
  <c r="A923" i="2"/>
  <c r="B40" i="33" s="1"/>
  <c r="A924" i="2"/>
  <c r="B41" i="33" s="1"/>
  <c r="A925" i="2"/>
  <c r="B42" i="33" s="1"/>
  <c r="A926" i="2"/>
  <c r="B43" i="33" s="1"/>
  <c r="A927" i="2"/>
  <c r="B44" i="33" s="1"/>
  <c r="A928" i="2"/>
  <c r="B45" i="33" s="1"/>
  <c r="A929" i="2"/>
  <c r="B46" i="33" s="1"/>
  <c r="A930" i="2"/>
  <c r="B47" i="33" s="1"/>
  <c r="A931" i="2"/>
  <c r="B48" i="33" s="1"/>
  <c r="A932" i="2"/>
  <c r="B49" i="33" s="1"/>
  <c r="A933" i="2"/>
  <c r="B51" i="33" s="1"/>
  <c r="A934" i="2"/>
  <c r="B52" i="33" s="1"/>
  <c r="A935" i="2"/>
  <c r="B53" i="33" s="1"/>
  <c r="A936" i="2"/>
  <c r="B54" i="33" s="1"/>
  <c r="A937" i="2"/>
  <c r="B55" i="33" s="1"/>
  <c r="A938" i="2"/>
  <c r="B56" i="33" s="1"/>
  <c r="A939" i="2"/>
  <c r="B57" i="33" s="1"/>
  <c r="A940" i="2"/>
  <c r="B58" i="33" s="1"/>
  <c r="A941" i="2"/>
  <c r="B59" i="33" s="1"/>
  <c r="A942" i="2"/>
  <c r="B60" i="33" s="1"/>
  <c r="A943" i="2"/>
  <c r="B61" i="33" s="1"/>
  <c r="A944" i="2"/>
  <c r="B62" i="33" s="1"/>
  <c r="A945" i="2"/>
  <c r="B63" i="33" s="1"/>
  <c r="A946" i="2"/>
  <c r="B64" i="33" s="1"/>
  <c r="A947" i="2"/>
  <c r="B65" i="33" s="1"/>
  <c r="A948" i="2"/>
  <c r="B66" i="33" s="1"/>
  <c r="A949" i="2"/>
  <c r="B68" i="33" s="1"/>
  <c r="A950" i="2"/>
  <c r="B69" i="33" s="1"/>
  <c r="A951" i="2"/>
  <c r="B70" i="33" s="1"/>
  <c r="A952" i="2"/>
  <c r="B71" i="33" s="1"/>
  <c r="A953" i="2"/>
  <c r="B72" i="33" s="1"/>
  <c r="A954" i="2"/>
  <c r="B73" i="33" s="1"/>
  <c r="A955" i="2"/>
  <c r="B74" i="33" s="1"/>
  <c r="A956" i="2"/>
  <c r="B75" i="33" s="1"/>
  <c r="A957" i="2"/>
  <c r="B76" i="33" s="1"/>
  <c r="A958" i="2"/>
  <c r="B77" i="33" s="1"/>
  <c r="A959" i="2"/>
  <c r="B78" i="33" s="1"/>
  <c r="A960" i="2"/>
  <c r="B79" i="33" s="1"/>
  <c r="A961" i="2"/>
  <c r="B80" i="33" s="1"/>
  <c r="A962" i="2"/>
  <c r="B81" i="33" s="1"/>
  <c r="A963" i="2"/>
  <c r="B82" i="33" s="1"/>
  <c r="A964" i="2"/>
  <c r="B83" i="33" s="1"/>
  <c r="A965" i="2"/>
  <c r="B84" i="33" s="1"/>
  <c r="A966" i="2"/>
  <c r="B85" i="33" s="1"/>
  <c r="A967" i="2"/>
  <c r="B86" i="33" s="1"/>
  <c r="A968" i="2"/>
  <c r="B87" i="33" s="1"/>
  <c r="A969" i="2"/>
  <c r="B1" i="18" s="1"/>
  <c r="A970" i="2"/>
  <c r="B3" i="18" s="1"/>
  <c r="A971" i="2"/>
  <c r="B4" i="18" s="1"/>
  <c r="A972" i="2"/>
  <c r="B5" i="18" s="1"/>
  <c r="A973" i="2"/>
  <c r="B6" i="18" s="1"/>
  <c r="A974" i="2"/>
  <c r="B7" i="18" s="1"/>
  <c r="A975" i="2"/>
  <c r="B8" i="18" s="1"/>
  <c r="A976" i="2"/>
  <c r="B10" i="18" s="1"/>
  <c r="A977" i="2"/>
  <c r="B11" i="18" s="1"/>
  <c r="A978" i="2"/>
  <c r="B12" i="18" s="1"/>
  <c r="A979" i="2"/>
  <c r="B13" i="18" s="1"/>
  <c r="A980" i="2"/>
  <c r="B9" i="18" s="1"/>
  <c r="A981" i="2"/>
  <c r="B14" i="18" s="1"/>
  <c r="A982" i="2"/>
  <c r="B16" i="18" s="1"/>
  <c r="A983" i="2"/>
  <c r="B17" i="18" s="1"/>
  <c r="A984" i="2"/>
  <c r="B18" i="18" s="1"/>
  <c r="A985" i="2"/>
  <c r="B19" i="18" s="1"/>
  <c r="A986" i="2"/>
  <c r="B20" i="18" s="1"/>
  <c r="A987" i="2"/>
  <c r="B21" i="18" s="1"/>
  <c r="A992" i="2"/>
  <c r="B26" i="18" s="1"/>
  <c r="A993" i="2"/>
  <c r="B31" i="18" s="1"/>
  <c r="A994" i="2"/>
  <c r="B36" i="18" s="1"/>
  <c r="A995" i="2"/>
  <c r="B41" i="18" s="1"/>
  <c r="A996" i="2"/>
  <c r="B46" i="18" s="1"/>
  <c r="A997" i="2"/>
  <c r="B51" i="18" s="1"/>
  <c r="A998" i="2"/>
  <c r="B56" i="18" s="1"/>
  <c r="A999" i="2"/>
  <c r="B61" i="18" s="1"/>
  <c r="A1000" i="2"/>
  <c r="B66" i="18" s="1"/>
  <c r="A1001" i="2"/>
  <c r="B71" i="18" s="1"/>
  <c r="A1002" i="2"/>
  <c r="B76" i="18" s="1"/>
  <c r="A1003" i="2"/>
  <c r="B81" i="18" s="1"/>
  <c r="A1004" i="2"/>
  <c r="B86" i="18" s="1"/>
  <c r="A1005" i="2"/>
  <c r="B91" i="18" s="1"/>
  <c r="A1006" i="2"/>
  <c r="B96" i="18" s="1"/>
  <c r="A1007" i="2"/>
  <c r="B101" i="18" s="1"/>
  <c r="A1008" i="2"/>
  <c r="B106" i="18" s="1"/>
  <c r="A1010" i="2"/>
  <c r="B116" i="18" s="1"/>
  <c r="A1011" i="2"/>
  <c r="B121" i="18" s="1"/>
  <c r="A1012" i="2"/>
  <c r="B126" i="18" s="1"/>
  <c r="A1013" i="2"/>
  <c r="B131" i="18" s="1"/>
  <c r="A1014" i="2"/>
  <c r="B136" i="18" s="1"/>
  <c r="A1015" i="2"/>
  <c r="B138" i="18" s="1"/>
  <c r="A1016" i="2"/>
  <c r="B139" i="18" s="1"/>
  <c r="A1017" i="2"/>
  <c r="B140" i="18" s="1"/>
  <c r="A1018" i="2"/>
  <c r="B141" i="18" s="1"/>
  <c r="A1019" i="2"/>
  <c r="B142" i="18" s="1"/>
  <c r="A1020" i="2"/>
  <c r="B143" i="18" s="1"/>
  <c r="A1021" i="2"/>
  <c r="B144" i="18" s="1"/>
  <c r="A1022" i="2"/>
  <c r="B145" i="18" s="1"/>
  <c r="A1023" i="2"/>
  <c r="B146" i="18" s="1"/>
  <c r="A1024" i="2"/>
  <c r="B147" i="18" s="1"/>
  <c r="A1025" i="2"/>
  <c r="B148" i="18" s="1"/>
  <c r="A1026" i="2"/>
  <c r="B149" i="18" s="1"/>
  <c r="A1027" i="2"/>
  <c r="B150" i="18" s="1"/>
  <c r="A1028" i="2"/>
  <c r="B152" i="18" s="1"/>
  <c r="A1029" i="2"/>
  <c r="B153" i="18" s="1"/>
  <c r="A1030" i="2"/>
  <c r="B154" i="18" s="1"/>
  <c r="A1031" i="2"/>
  <c r="B155" i="18" s="1"/>
  <c r="A1032" i="2"/>
  <c r="B156" i="18" s="1"/>
  <c r="A1033" i="2"/>
  <c r="B157" i="18" s="1"/>
  <c r="A1034" i="2"/>
  <c r="B158" i="18" s="1"/>
  <c r="A1035" i="2"/>
  <c r="B159" i="18" s="1"/>
  <c r="A1036" i="2"/>
  <c r="B160" i="18" s="1"/>
  <c r="A1037" i="2"/>
  <c r="B161" i="18" s="1"/>
  <c r="A1038" i="2"/>
  <c r="B162" i="18" s="1"/>
  <c r="A1039" i="2"/>
  <c r="B163" i="18" s="1"/>
  <c r="A1040" i="2"/>
  <c r="B1" i="34" s="1"/>
  <c r="A1041" i="2"/>
  <c r="B3" i="34" s="1"/>
  <c r="A1042" i="2"/>
  <c r="B4" i="34" s="1"/>
  <c r="A1043" i="2"/>
  <c r="B5" i="34" s="1"/>
  <c r="A1044" i="2"/>
  <c r="B6" i="34" s="1"/>
  <c r="A1045" i="2"/>
  <c r="B7" i="34" s="1"/>
  <c r="A1046" i="2"/>
  <c r="B8" i="34" s="1"/>
  <c r="A1047" i="2"/>
  <c r="B9" i="34" s="1"/>
  <c r="A1048" i="2"/>
  <c r="B10" i="34" s="1"/>
  <c r="A1049" i="2"/>
  <c r="B11" i="34" s="1"/>
  <c r="A1050" i="2"/>
  <c r="B12" i="34" s="1"/>
  <c r="A1051" i="2"/>
  <c r="B13" i="34" s="1"/>
  <c r="A1052" i="2"/>
  <c r="B14" i="34" s="1"/>
  <c r="A1053" i="2"/>
  <c r="B15" i="34" s="1"/>
  <c r="A1054" i="2"/>
  <c r="B16" i="34" s="1"/>
  <c r="A1055" i="2"/>
  <c r="B17" i="34" s="1"/>
  <c r="A1056" i="2"/>
  <c r="B19" i="34" s="1"/>
  <c r="A1057" i="2"/>
  <c r="B20" i="34" s="1"/>
  <c r="A1058" i="2"/>
  <c r="B21" i="34" s="1"/>
  <c r="A1059" i="2"/>
  <c r="B22" i="34" s="1"/>
  <c r="A1060" i="2"/>
  <c r="B23" i="34" s="1"/>
  <c r="A1061" i="2"/>
  <c r="B24" i="34" s="1"/>
  <c r="A1062" i="2"/>
  <c r="B25" i="34" s="1"/>
  <c r="A1063" i="2"/>
  <c r="B26" i="34" s="1"/>
  <c r="A1064" i="2"/>
  <c r="B27" i="34" s="1"/>
  <c r="A1065" i="2"/>
  <c r="B28" i="34" s="1"/>
  <c r="A1066" i="2"/>
  <c r="B29" i="34" s="1"/>
  <c r="A1067" i="2"/>
  <c r="B30" i="34" s="1"/>
  <c r="A1068" i="2"/>
  <c r="B31" i="34" s="1"/>
  <c r="A1069" i="2"/>
  <c r="B33" i="34" s="1"/>
  <c r="A1070" i="2"/>
  <c r="B34" i="34" s="1"/>
  <c r="A1071" i="2"/>
  <c r="B35" i="34" s="1"/>
  <c r="A1072" i="2"/>
  <c r="B36" i="34" s="1"/>
  <c r="B16" i="27" s="1"/>
  <c r="A1073" i="2"/>
  <c r="B38" i="34" s="1"/>
  <c r="A1074" i="2"/>
  <c r="B39" i="34" s="1"/>
  <c r="A1075" i="2"/>
  <c r="B40" i="34" s="1"/>
  <c r="A1076" i="2"/>
  <c r="B41" i="34" s="1"/>
  <c r="B17" i="27" s="1"/>
  <c r="A1077" i="2"/>
  <c r="B42" i="34" s="1"/>
  <c r="A1078" i="2"/>
  <c r="B43" i="34" s="1"/>
  <c r="A1079" i="2"/>
  <c r="B44" i="34" s="1"/>
  <c r="A1080" i="2"/>
  <c r="B45" i="34" s="1"/>
  <c r="A1081" i="2"/>
  <c r="B46" i="34" s="1"/>
  <c r="A1082" i="2"/>
  <c r="B47" i="34" s="1"/>
  <c r="A1083" i="2"/>
  <c r="B48" i="34" s="1"/>
  <c r="A1084" i="2"/>
  <c r="B50" i="34" s="1"/>
  <c r="A1085" i="2"/>
  <c r="B51" i="34" s="1"/>
  <c r="A1086" i="2"/>
  <c r="B52" i="34" s="1"/>
  <c r="A1087" i="2"/>
  <c r="B53" i="34" s="1"/>
  <c r="B18" i="27" s="1"/>
  <c r="A1088" i="2"/>
  <c r="B54" i="34" s="1"/>
  <c r="A1089" i="2"/>
  <c r="B55" i="34" s="1"/>
  <c r="B19" i="27" s="1"/>
  <c r="A1090" i="2"/>
  <c r="B56" i="34" s="1"/>
  <c r="A1091" i="2"/>
  <c r="B57" i="34" s="1"/>
  <c r="A1092" i="2"/>
  <c r="B58" i="34" s="1"/>
  <c r="A1093" i="2"/>
  <c r="B59" i="34" s="1"/>
  <c r="A1094" i="2"/>
  <c r="B60" i="34" s="1"/>
  <c r="A1095" i="2"/>
  <c r="B61" i="34" s="1"/>
  <c r="A1096" i="2"/>
  <c r="B62" i="34" s="1"/>
  <c r="A1097" i="2"/>
  <c r="B64" i="34" s="1"/>
  <c r="A1098" i="2"/>
  <c r="B65" i="34" s="1"/>
  <c r="A1099" i="2"/>
  <c r="B66" i="34" s="1"/>
  <c r="A1100" i="2"/>
  <c r="B67" i="34" s="1"/>
  <c r="A1101" i="2"/>
  <c r="B68" i="34" s="1"/>
  <c r="B20" i="27" s="1"/>
  <c r="A1102" i="2"/>
  <c r="B69" i="34" s="1"/>
  <c r="A1103" i="2"/>
  <c r="B70" i="34" s="1"/>
  <c r="B21" i="27" s="1"/>
  <c r="A1104" i="2"/>
  <c r="B71" i="34" s="1"/>
  <c r="A1105" i="2"/>
  <c r="B72" i="34" s="1"/>
  <c r="A1106" i="2"/>
  <c r="B73" i="34" s="1"/>
  <c r="A1107" i="2"/>
  <c r="B74" i="34" s="1"/>
  <c r="A1108" i="2"/>
  <c r="B75" i="34" s="1"/>
  <c r="A1109" i="2"/>
  <c r="B76" i="34" s="1"/>
  <c r="A1110" i="2"/>
  <c r="B77" i="34" s="1"/>
  <c r="A1111" i="2"/>
  <c r="B1" i="36" s="1"/>
  <c r="A1112" i="2"/>
  <c r="B2" i="36" s="1"/>
  <c r="A1113" i="2"/>
  <c r="B3" i="36" s="1"/>
  <c r="A1114" i="2"/>
  <c r="B4" i="36" s="1"/>
  <c r="A1115" i="2"/>
  <c r="B5" i="36" s="1"/>
  <c r="B22" i="27" s="1"/>
  <c r="A1116" i="2"/>
  <c r="B6" i="36" s="1"/>
  <c r="A1117" i="2"/>
  <c r="B7" i="36" s="1"/>
  <c r="A1118" i="2"/>
  <c r="B8" i="36" s="1"/>
  <c r="A1119" i="2"/>
  <c r="B9" i="36" s="1"/>
  <c r="A1120" i="2"/>
  <c r="B10" i="36" s="1"/>
  <c r="A1121" i="2"/>
  <c r="B11" i="36" s="1"/>
  <c r="A1122" i="2"/>
  <c r="B12" i="36" s="1"/>
  <c r="A1123" i="2"/>
  <c r="B13" i="36" s="1"/>
  <c r="A1124" i="2"/>
  <c r="B14" i="36" s="1"/>
  <c r="A1125" i="2"/>
  <c r="B15" i="36" s="1"/>
  <c r="A1126" i="2"/>
  <c r="B16" i="36" s="1"/>
  <c r="A1127" i="2"/>
  <c r="B17" i="36" s="1"/>
  <c r="A1128" i="2"/>
  <c r="B19" i="36" s="1"/>
  <c r="A1129" i="2"/>
  <c r="B20" i="36" s="1"/>
  <c r="A1130" i="2"/>
  <c r="B21" i="36" s="1"/>
  <c r="A1131" i="2"/>
  <c r="B22" i="36" s="1"/>
  <c r="A1132" i="2"/>
  <c r="B23" i="36" s="1"/>
  <c r="A1133" i="2"/>
  <c r="B24" i="36" s="1"/>
  <c r="A1134" i="2"/>
  <c r="B25" i="36" s="1"/>
  <c r="A1135" i="2"/>
  <c r="B26" i="36" s="1"/>
  <c r="A1136" i="2"/>
  <c r="B27" i="36" s="1"/>
  <c r="A1137" i="2"/>
  <c r="B28" i="36" s="1"/>
  <c r="A1138" i="2"/>
  <c r="B29" i="36" s="1"/>
  <c r="B23" i="27" s="1"/>
  <c r="A1139" i="2"/>
  <c r="B30" i="36" s="1"/>
  <c r="B24" i="27" s="1"/>
  <c r="A1140" i="2"/>
  <c r="B31" i="36" s="1"/>
  <c r="A1141" i="2"/>
  <c r="B32" i="36" s="1"/>
  <c r="A1142" i="2"/>
  <c r="B33" i="36" s="1"/>
  <c r="A1143" i="2"/>
  <c r="B34" i="36" s="1"/>
  <c r="A1144" i="2"/>
  <c r="B35" i="36" s="1"/>
  <c r="A1145" i="2"/>
  <c r="B36" i="36" s="1"/>
  <c r="B25" i="27" s="1"/>
  <c r="A1146" i="2"/>
  <c r="B38" i="36" s="1"/>
  <c r="A1147" i="2"/>
  <c r="B39" i="36" s="1"/>
  <c r="A1148" i="2"/>
  <c r="B40" i="36" s="1"/>
  <c r="A1150" i="2"/>
  <c r="B42" i="36" s="1"/>
  <c r="A1151" i="2"/>
  <c r="B43" i="36" s="1"/>
  <c r="A1152" i="2"/>
  <c r="B44" i="36" s="1"/>
  <c r="A1153" i="2"/>
  <c r="B45" i="36" s="1"/>
  <c r="A1154" i="2"/>
  <c r="B46" i="36" s="1"/>
  <c r="A1155" i="2"/>
  <c r="B47" i="36" s="1"/>
  <c r="A1156" i="2"/>
  <c r="B48" i="36" s="1"/>
  <c r="A1157" i="2"/>
  <c r="B49" i="36" s="1"/>
  <c r="A1158" i="2"/>
  <c r="B50" i="36" s="1"/>
  <c r="A1159" i="2"/>
  <c r="B51" i="36" s="1"/>
  <c r="A1160" i="2"/>
  <c r="B52" i="36" s="1"/>
  <c r="A1161" i="2"/>
  <c r="B54" i="36" s="1"/>
  <c r="A1162" i="2"/>
  <c r="B55" i="36" s="1"/>
  <c r="A1163" i="2"/>
  <c r="B56" i="36" s="1"/>
  <c r="A1164" i="2"/>
  <c r="B57" i="36" s="1"/>
  <c r="A1165" i="2"/>
  <c r="B58" i="36" s="1"/>
  <c r="A1166" i="2"/>
  <c r="B59" i="36" s="1"/>
  <c r="A1167" i="2"/>
  <c r="B60" i="36" s="1"/>
  <c r="A1168" i="2"/>
  <c r="B61" i="36" s="1"/>
  <c r="A1169" i="2"/>
  <c r="B62" i="36" s="1"/>
  <c r="A1170" i="2"/>
  <c r="B63" i="36" s="1"/>
  <c r="A1171" i="2"/>
  <c r="B64" i="36" s="1"/>
  <c r="A1172" i="2"/>
  <c r="B65" i="36" s="1"/>
  <c r="A1173" i="2"/>
  <c r="B66" i="36" s="1"/>
  <c r="A1174" i="2"/>
  <c r="B67" i="36" s="1"/>
  <c r="A1175" i="2"/>
  <c r="B68" i="36" s="1"/>
  <c r="A1176" i="2"/>
  <c r="B69" i="36" s="1"/>
  <c r="A1177" i="2"/>
  <c r="B70" i="36" s="1"/>
  <c r="A1178" i="2"/>
  <c r="B71" i="36" s="1"/>
  <c r="A1179" i="2"/>
  <c r="B72" i="36" s="1"/>
  <c r="A1180" i="2"/>
  <c r="B73" i="36" s="1"/>
  <c r="A1181" i="2"/>
  <c r="B74" i="36" s="1"/>
  <c r="A1182" i="2"/>
  <c r="B75" i="36" s="1"/>
  <c r="A1183" i="2"/>
  <c r="B1" i="5" s="1"/>
  <c r="A1184" i="2"/>
  <c r="B2" i="5" s="1"/>
  <c r="A1185" i="2"/>
  <c r="B3" i="5" s="1"/>
  <c r="A1187" i="2"/>
  <c r="B5" i="5" s="1"/>
  <c r="A1188" i="2"/>
  <c r="B6" i="5" s="1"/>
  <c r="A1189" i="2"/>
  <c r="B7" i="5" s="1"/>
  <c r="B26" i="27" s="1"/>
  <c r="A1190" i="2"/>
  <c r="B8" i="5" s="1"/>
  <c r="B27" i="27" s="1"/>
  <c r="A1191" i="2"/>
  <c r="B9" i="5" s="1"/>
  <c r="B28" i="27" s="1"/>
  <c r="A1192" i="2"/>
  <c r="B10" i="5" s="1"/>
  <c r="A1193" i="2"/>
  <c r="B11" i="5" s="1"/>
  <c r="A1194" i="2"/>
  <c r="B12" i="5" s="1"/>
  <c r="B29" i="27" s="1"/>
  <c r="A1195" i="2"/>
  <c r="B13" i="5" s="1"/>
  <c r="A1196" i="2"/>
  <c r="B14" i="5" s="1"/>
  <c r="A1197" i="2"/>
  <c r="B16" i="5" s="1"/>
  <c r="A1198" i="2"/>
  <c r="B17" i="5" s="1"/>
  <c r="A1199" i="2"/>
  <c r="B18" i="5" s="1"/>
  <c r="A1200" i="2"/>
  <c r="B19" i="5" s="1"/>
  <c r="A1201" i="2"/>
  <c r="B20" i="5" s="1"/>
  <c r="A1202" i="2"/>
  <c r="B21" i="5" s="1"/>
  <c r="A1203" i="2"/>
  <c r="B22" i="5" s="1"/>
  <c r="A1204" i="2"/>
  <c r="B23" i="5" s="1"/>
  <c r="A1205" i="2"/>
  <c r="B24" i="5" s="1"/>
  <c r="A1206" i="2"/>
  <c r="B25" i="5" s="1"/>
  <c r="A1207" i="2"/>
  <c r="B26" i="5" s="1"/>
  <c r="A1208" i="2"/>
  <c r="B27" i="5" s="1"/>
  <c r="A1209" i="2"/>
  <c r="B28" i="5" s="1"/>
  <c r="A1210" i="2"/>
  <c r="B29" i="5" s="1"/>
  <c r="A1211" i="2"/>
  <c r="B30" i="5" s="1"/>
  <c r="A1212" i="2"/>
  <c r="B31" i="5" s="1"/>
  <c r="A1213" i="2"/>
  <c r="B32" i="5" s="1"/>
  <c r="A1214" i="2"/>
  <c r="B33" i="5" s="1"/>
  <c r="A1215" i="2"/>
  <c r="B34" i="5" s="1"/>
  <c r="A1216" i="2"/>
  <c r="B35" i="5" s="1"/>
  <c r="A1217" i="2"/>
  <c r="B36" i="5" s="1"/>
  <c r="A1218" i="2"/>
  <c r="B37" i="5" s="1"/>
  <c r="B30" i="27" s="1"/>
  <c r="A1219" i="2"/>
  <c r="B38" i="5" s="1"/>
  <c r="A1220" i="2"/>
  <c r="B39" i="5" s="1"/>
  <c r="B123" i="27" s="1"/>
  <c r="A1221" i="2"/>
  <c r="B40" i="5" s="1"/>
  <c r="A1222" i="2"/>
  <c r="B41" i="5" s="1"/>
  <c r="A1223" i="2"/>
  <c r="B42" i="5" s="1"/>
  <c r="A1224" i="2"/>
  <c r="B43" i="5" s="1"/>
  <c r="A1225" i="2"/>
  <c r="B44" i="5" s="1"/>
  <c r="A1226" i="2"/>
  <c r="B45" i="5" s="1"/>
  <c r="A1227" i="2"/>
  <c r="B46" i="5" s="1"/>
  <c r="A1228" i="2"/>
  <c r="B47" i="5" s="1"/>
  <c r="A1229" i="2"/>
  <c r="B48" i="5" s="1"/>
  <c r="A1230" i="2"/>
  <c r="B49" i="5" s="1"/>
  <c r="A1231" i="2"/>
  <c r="B50" i="5" s="1"/>
  <c r="A1232" i="2"/>
  <c r="B51" i="5" s="1"/>
  <c r="A1233" i="2"/>
  <c r="B52" i="5" s="1"/>
  <c r="B31" i="27" s="1"/>
  <c r="A1234" i="2"/>
  <c r="B53" i="5" s="1"/>
  <c r="A1235" i="2"/>
  <c r="B54" i="5" s="1"/>
  <c r="A1236" i="2"/>
  <c r="B55" i="5" s="1"/>
  <c r="A1237" i="2"/>
  <c r="B56" i="5" s="1"/>
  <c r="A1238" i="2"/>
  <c r="B1" i="8" s="1"/>
  <c r="A1239" i="2"/>
  <c r="B2" i="8" s="1"/>
  <c r="A1240" i="2"/>
  <c r="B3" i="8" s="1"/>
  <c r="A1241" i="2"/>
  <c r="B4" i="8" s="1"/>
  <c r="A1242" i="2"/>
  <c r="B5" i="8" s="1"/>
  <c r="A1243" i="2"/>
  <c r="B7" i="8" s="1"/>
  <c r="A1244" i="2"/>
  <c r="B10" i="8" s="1"/>
  <c r="A1245" i="2"/>
  <c r="B11" i="8" s="1"/>
  <c r="A1252" i="2"/>
  <c r="B18" i="8" s="1"/>
  <c r="B32" i="27" s="1"/>
  <c r="A1253" i="2"/>
  <c r="B19" i="8" s="1"/>
  <c r="A1254" i="2"/>
  <c r="B20" i="8" s="1"/>
  <c r="A1255" i="2"/>
  <c r="B27" i="8" s="1"/>
  <c r="A1256" i="2"/>
  <c r="B28" i="8" s="1"/>
  <c r="A1257" i="2"/>
  <c r="B29" i="8" s="1"/>
  <c r="B33" i="27" s="1"/>
  <c r="A1258" i="2"/>
  <c r="B30" i="8" s="1"/>
  <c r="A1259" i="2"/>
  <c r="B32" i="8" s="1"/>
  <c r="A1260" i="2"/>
  <c r="B33" i="8" s="1"/>
  <c r="A1261" i="2"/>
  <c r="B40" i="8" s="1"/>
  <c r="A1262" i="2"/>
  <c r="B41" i="8" s="1"/>
  <c r="A1263" i="2"/>
  <c r="B42" i="8" s="1"/>
  <c r="A1264" i="2"/>
  <c r="B49" i="8" s="1"/>
  <c r="A1265" i="2"/>
  <c r="B57" i="8" s="1"/>
  <c r="A1266" i="2"/>
  <c r="B58" i="8" s="1"/>
  <c r="A1267" i="2"/>
  <c r="B65" i="8" s="1"/>
  <c r="A1268" i="2"/>
  <c r="B72" i="8" s="1"/>
  <c r="A1269" i="2"/>
  <c r="B79" i="8" s="1"/>
  <c r="B34" i="27" s="1"/>
  <c r="A1270" i="2"/>
  <c r="B80" i="8" s="1"/>
  <c r="A1271" i="2"/>
  <c r="B87" i="8" s="1"/>
  <c r="A1272" i="2"/>
  <c r="B88" i="8" s="1"/>
  <c r="A1273" i="2"/>
  <c r="B95" i="8" s="1"/>
  <c r="A1274" i="2"/>
  <c r="B102" i="8" s="1"/>
  <c r="A1281" i="2"/>
  <c r="B109" i="8" s="1"/>
  <c r="A1282" i="2"/>
  <c r="B116" i="8" s="1"/>
  <c r="A1283" i="2"/>
  <c r="B123" i="8" s="1"/>
  <c r="A1284" i="2"/>
  <c r="B130" i="8" s="1"/>
  <c r="A1285" i="2"/>
  <c r="B137" i="8" s="1"/>
  <c r="A1286" i="2"/>
  <c r="B144" i="8" s="1"/>
  <c r="A1287" i="2"/>
  <c r="B152" i="8" s="1"/>
  <c r="A1288" i="2"/>
  <c r="B153" i="8" s="1"/>
  <c r="A1289" i="2"/>
  <c r="B160" i="8" s="1"/>
  <c r="A1290" i="2"/>
  <c r="B168" i="8" s="1"/>
  <c r="A1291" i="2"/>
  <c r="B169" i="8" s="1"/>
  <c r="A1292" i="2"/>
  <c r="B176" i="8" s="1"/>
  <c r="A1293" i="2"/>
  <c r="B183" i="8" s="1"/>
  <c r="A1294" i="2"/>
  <c r="B190" i="8" s="1"/>
  <c r="A1295" i="2"/>
  <c r="B197" i="8" s="1"/>
  <c r="A1296" i="2"/>
  <c r="B205" i="8" s="1"/>
  <c r="A1297" i="2"/>
  <c r="B206" i="8" s="1"/>
  <c r="A1298" i="2"/>
  <c r="B208" i="8" s="1"/>
  <c r="A1299" i="2"/>
  <c r="B209" i="8" s="1"/>
  <c r="A1300" i="2"/>
  <c r="B210" i="8" s="1"/>
  <c r="A1301" i="2"/>
  <c r="B211" i="8" s="1"/>
  <c r="A1302" i="2"/>
  <c r="B212" i="8" s="1"/>
  <c r="A1303" i="2"/>
  <c r="B207" i="8" s="1"/>
  <c r="A1304" i="2"/>
  <c r="B213" i="8" s="1"/>
  <c r="A1305" i="2"/>
  <c r="B214" i="8" s="1"/>
  <c r="A1306" i="2"/>
  <c r="B215" i="8" s="1"/>
  <c r="A1307" i="2"/>
  <c r="B216" i="8" s="1"/>
  <c r="A1308" i="2"/>
  <c r="B217" i="8" s="1"/>
  <c r="A1309" i="2"/>
  <c r="B218" i="8" s="1"/>
  <c r="B35" i="27" s="1"/>
  <c r="A1310" i="2"/>
  <c r="B220" i="8" s="1"/>
  <c r="A1311" i="2"/>
  <c r="B221" i="8" s="1"/>
  <c r="A1312" i="2"/>
  <c r="B223" i="8" s="1"/>
  <c r="A1313" i="2"/>
  <c r="B224" i="8" s="1"/>
  <c r="A1314" i="2"/>
  <c r="B225" i="8" s="1"/>
  <c r="A1315" i="2"/>
  <c r="B226" i="8" s="1"/>
  <c r="A1316" i="2"/>
  <c r="B227" i="8" s="1"/>
  <c r="A1317" i="2"/>
  <c r="B222" i="8" s="1"/>
  <c r="A1318" i="2"/>
  <c r="B228" i="8" s="1"/>
  <c r="A1319" i="2"/>
  <c r="B229" i="8" s="1"/>
  <c r="A1320" i="2"/>
  <c r="B230" i="8" s="1"/>
  <c r="A1321" i="2"/>
  <c r="B231" i="8" s="1"/>
  <c r="A1322" i="2"/>
  <c r="B232" i="8" s="1"/>
  <c r="B36" i="27" s="1"/>
  <c r="A1323" i="2"/>
  <c r="B234" i="8" s="1"/>
  <c r="A1324" i="2"/>
  <c r="B235" i="8" s="1"/>
  <c r="A1325" i="2"/>
  <c r="B236" i="8" s="1"/>
  <c r="A1326" i="2"/>
  <c r="B237" i="8" s="1"/>
  <c r="A1327" i="2"/>
  <c r="B238" i="8" s="1"/>
  <c r="A1328" i="2"/>
  <c r="B239" i="8" s="1"/>
  <c r="A1329" i="2"/>
  <c r="B240" i="8" s="1"/>
  <c r="A1330" i="2"/>
  <c r="B241" i="8" s="1"/>
  <c r="A1331" i="2"/>
  <c r="B242" i="8" s="1"/>
  <c r="A1332" i="2"/>
  <c r="B243" i="8" s="1"/>
  <c r="A1333" i="2"/>
  <c r="B244" i="8" s="1"/>
  <c r="A1334" i="2"/>
  <c r="H4" i="8" s="1"/>
  <c r="A1335" i="2"/>
  <c r="H5" i="8" s="1"/>
  <c r="A1336" i="2"/>
  <c r="H6" i="8" s="1"/>
  <c r="A1337" i="2"/>
  <c r="H7" i="8" s="1"/>
  <c r="A1338" i="2"/>
  <c r="H8" i="8" s="1"/>
  <c r="A1339" i="2"/>
  <c r="B1" i="24" s="1"/>
  <c r="A1340" i="2"/>
  <c r="B2" i="24" s="1"/>
  <c r="A1341" i="2"/>
  <c r="B3" i="24" s="1"/>
  <c r="A1342" i="2"/>
  <c r="B4" i="24" s="1"/>
  <c r="A1343" i="2"/>
  <c r="B5" i="24" s="1"/>
  <c r="A1344" i="2"/>
  <c r="B6" i="24" s="1"/>
  <c r="A1345" i="2"/>
  <c r="B7" i="24" s="1"/>
  <c r="A1346" i="2"/>
  <c r="B8" i="24" s="1"/>
  <c r="A1347" i="2"/>
  <c r="B9" i="24" s="1"/>
  <c r="A1348" i="2"/>
  <c r="B10" i="24" s="1"/>
  <c r="A1349" i="2"/>
  <c r="B11" i="24" s="1"/>
  <c r="A1350" i="2"/>
  <c r="B12" i="24" s="1"/>
  <c r="A1351" i="2"/>
  <c r="B13" i="24" s="1"/>
  <c r="A1352" i="2"/>
  <c r="B15" i="24" s="1"/>
  <c r="A1353" i="2"/>
  <c r="B16" i="24" s="1"/>
  <c r="A1354" i="2"/>
  <c r="B17" i="24" s="1"/>
  <c r="A1355" i="2"/>
  <c r="B18" i="24" s="1"/>
  <c r="A1356" i="2"/>
  <c r="B19" i="24" s="1"/>
  <c r="A1357" i="2"/>
  <c r="B20" i="24" s="1"/>
  <c r="B37" i="27" s="1"/>
  <c r="A1358" i="2"/>
  <c r="B21" i="24" s="1"/>
  <c r="A1359" i="2"/>
  <c r="B22" i="24" s="1"/>
  <c r="A1360" i="2"/>
  <c r="B23" i="24" s="1"/>
  <c r="A1361" i="2"/>
  <c r="B24" i="24" s="1"/>
  <c r="A1362" i="2"/>
  <c r="B25" i="24" s="1"/>
  <c r="A1363" i="2"/>
  <c r="B26" i="24" s="1"/>
  <c r="A1364" i="2"/>
  <c r="B27" i="24" s="1"/>
  <c r="A1365" i="2"/>
  <c r="B28" i="24" s="1"/>
  <c r="A1366" i="2"/>
  <c r="B29" i="24" s="1"/>
  <c r="A1367" i="2"/>
  <c r="B30" i="24" s="1"/>
  <c r="A1368" i="2"/>
  <c r="B31" i="24" s="1"/>
  <c r="A1369" i="2"/>
  <c r="B32" i="24" s="1"/>
  <c r="A1370" i="2"/>
  <c r="B33" i="24" s="1"/>
  <c r="A1371" i="2"/>
  <c r="B34" i="24" s="1"/>
  <c r="A1372" i="2"/>
  <c r="B35" i="24" s="1"/>
  <c r="A1373" i="2"/>
  <c r="B36" i="24" s="1"/>
  <c r="A1374" i="2"/>
  <c r="B37" i="24" s="1"/>
  <c r="A1375" i="2"/>
  <c r="B38" i="24" s="1"/>
  <c r="A1376" i="2"/>
  <c r="B39" i="24" s="1"/>
  <c r="A1377" i="2"/>
  <c r="B40" i="24" s="1"/>
  <c r="A1378" i="2"/>
  <c r="B41" i="24" s="1"/>
  <c r="A1379" i="2"/>
  <c r="B42" i="24" s="1"/>
  <c r="A1380" i="2"/>
  <c r="B43" i="24" s="1"/>
  <c r="A1381" i="2"/>
  <c r="B44" i="24" s="1"/>
  <c r="A1382" i="2"/>
  <c r="B45" i="24" s="1"/>
  <c r="A1383" i="2"/>
  <c r="B46" i="24" s="1"/>
  <c r="A1384" i="2"/>
  <c r="B47" i="24" s="1"/>
  <c r="A1385" i="2"/>
  <c r="B48" i="24" s="1"/>
  <c r="A1386" i="2"/>
  <c r="B49" i="24" s="1"/>
  <c r="A1387" i="2"/>
  <c r="B50" i="24" s="1"/>
  <c r="A1388" i="2"/>
  <c r="B51" i="24" s="1"/>
  <c r="A1389" i="2"/>
  <c r="B52" i="24" s="1"/>
  <c r="A1390" i="2"/>
  <c r="B53" i="24" s="1"/>
  <c r="A1391" i="2"/>
  <c r="B54" i="24" s="1"/>
  <c r="A1392" i="2"/>
  <c r="B55" i="24" s="1"/>
  <c r="A1393" i="2"/>
  <c r="B56" i="24" s="1"/>
  <c r="A1394" i="2"/>
  <c r="B57" i="24" s="1"/>
  <c r="A1395" i="2"/>
  <c r="B58" i="24" s="1"/>
  <c r="A1396" i="2"/>
  <c r="B59" i="24" s="1"/>
  <c r="A1397" i="2"/>
  <c r="B60" i="24" s="1"/>
  <c r="A1398" i="2"/>
  <c r="B61" i="24" s="1"/>
  <c r="A1399" i="2"/>
  <c r="B62" i="24" s="1"/>
  <c r="A1400" i="2"/>
  <c r="B64" i="24" s="1"/>
  <c r="A1401" i="2"/>
  <c r="B65" i="24" s="1"/>
  <c r="B38" i="27" s="1"/>
  <c r="A1402" i="2"/>
  <c r="B66" i="24" s="1"/>
  <c r="A1403" i="2"/>
  <c r="B67" i="24" s="1"/>
  <c r="B124" i="27" s="1"/>
  <c r="A1404" i="2"/>
  <c r="B69" i="24" s="1"/>
  <c r="A1405" i="2"/>
  <c r="B68" i="24" s="1"/>
  <c r="A1406" i="2"/>
  <c r="B70" i="24" s="1"/>
  <c r="A1407" i="2"/>
  <c r="B71" i="24" s="1"/>
  <c r="B125" i="27" s="1"/>
  <c r="A1408" i="2"/>
  <c r="B72" i="24" s="1"/>
  <c r="A1409" i="2"/>
  <c r="B73" i="24" s="1"/>
  <c r="A1410" i="2"/>
  <c r="B74" i="24" s="1"/>
  <c r="A1411" i="2"/>
  <c r="B75" i="24" s="1"/>
  <c r="A1412" i="2"/>
  <c r="B76" i="24" s="1"/>
  <c r="B39" i="27" s="1"/>
  <c r="A1413" i="2"/>
  <c r="B77" i="24" s="1"/>
  <c r="A1414" i="2"/>
  <c r="B78" i="24" s="1"/>
  <c r="A1415" i="2"/>
  <c r="B79" i="24" s="1"/>
  <c r="B126" i="27" s="1"/>
  <c r="A1416" i="2"/>
  <c r="B80" i="24" s="1"/>
  <c r="A1417" i="2"/>
  <c r="B82" i="24" s="1"/>
  <c r="A1418" i="2"/>
  <c r="B83" i="24" s="1"/>
  <c r="A1419" i="2"/>
  <c r="B84" i="24" s="1"/>
  <c r="A1420" i="2"/>
  <c r="B85" i="24" s="1"/>
  <c r="A1421" i="2"/>
  <c r="B86" i="24" s="1"/>
  <c r="A1422" i="2"/>
  <c r="B87" i="24" s="1"/>
  <c r="A1423" i="2"/>
  <c r="B88" i="24" s="1"/>
  <c r="B150" i="27" s="1"/>
  <c r="A1424" i="2"/>
  <c r="B89" i="24" s="1"/>
  <c r="A1425" i="2"/>
  <c r="B90" i="24" s="1"/>
  <c r="A1426" i="2"/>
  <c r="B91" i="24" s="1"/>
  <c r="B127" i="27" s="1"/>
  <c r="A1427" i="2"/>
  <c r="B92" i="24" s="1"/>
  <c r="A1428" i="2"/>
  <c r="B93" i="24" s="1"/>
  <c r="B40" i="27" s="1"/>
  <c r="A1429" i="2"/>
  <c r="B94" i="24" s="1"/>
  <c r="B41" i="27" s="1"/>
  <c r="A1430" i="2"/>
  <c r="B95" i="24" s="1"/>
  <c r="B42" i="27" s="1"/>
  <c r="A1431" i="2"/>
  <c r="B1" i="25" s="1"/>
  <c r="A1432" i="2"/>
  <c r="B2" i="25" s="1"/>
  <c r="A1433" i="2"/>
  <c r="B3" i="25" s="1"/>
  <c r="A1434" i="2"/>
  <c r="B4" i="25" s="1"/>
  <c r="B43" i="27" s="1"/>
  <c r="A1436" i="2"/>
  <c r="B6" i="25" s="1"/>
  <c r="B44" i="27" s="1"/>
  <c r="A1437" i="2"/>
  <c r="B7" i="25" s="1"/>
  <c r="B45" i="27" s="1"/>
  <c r="A1438" i="2"/>
  <c r="B8" i="25" s="1"/>
  <c r="B46" i="27" s="1"/>
  <c r="A1439" i="2"/>
  <c r="B9" i="25" s="1"/>
  <c r="B47" i="27" s="1"/>
  <c r="A1440" i="2"/>
  <c r="B10" i="25" s="1"/>
  <c r="B48" i="27" s="1"/>
  <c r="A1441" i="2"/>
  <c r="B11" i="25" s="1"/>
  <c r="B49" i="27" s="1"/>
  <c r="A1443" i="2"/>
  <c r="B13" i="25" s="1"/>
  <c r="A1445" i="2"/>
  <c r="B15" i="25" s="1"/>
  <c r="A1450" i="2"/>
  <c r="B20" i="25" s="1"/>
  <c r="A1451" i="2"/>
  <c r="B21" i="25" s="1"/>
  <c r="A1452" i="2"/>
  <c r="B22" i="25" s="1"/>
  <c r="A1453" i="2"/>
  <c r="B23" i="25" s="1"/>
  <c r="A1454" i="2"/>
  <c r="B24" i="25" s="1"/>
  <c r="A1455" i="2"/>
  <c r="B25" i="25" s="1"/>
  <c r="A1456" i="2"/>
  <c r="B26" i="25" s="1"/>
  <c r="A1457" i="2"/>
  <c r="B27" i="25" s="1"/>
  <c r="A1458" i="2"/>
  <c r="B28" i="25" s="1"/>
  <c r="A1459" i="2"/>
  <c r="B29" i="25" s="1"/>
  <c r="A1460" i="2"/>
  <c r="B30" i="25" s="1"/>
  <c r="A1461" i="2"/>
  <c r="B31" i="25" s="1"/>
  <c r="A1462" i="2"/>
  <c r="B32" i="25" s="1"/>
  <c r="A1463" i="2"/>
  <c r="B33" i="25" s="1"/>
  <c r="A1464" i="2"/>
  <c r="B34" i="25" s="1"/>
  <c r="A1465" i="2"/>
  <c r="B35" i="25" s="1"/>
  <c r="A1466" i="2"/>
  <c r="B36" i="25" s="1"/>
  <c r="A1467" i="2"/>
  <c r="B37" i="25" s="1"/>
  <c r="A1468" i="2"/>
  <c r="B38" i="25" s="1"/>
  <c r="A1469" i="2"/>
  <c r="B39" i="25" s="1"/>
  <c r="A1470" i="2"/>
  <c r="B41" i="25" s="1"/>
  <c r="A1471" i="2"/>
  <c r="B42" i="25" s="1"/>
  <c r="A1472" i="2"/>
  <c r="B43" i="25" s="1"/>
  <c r="B50" i="27" s="1"/>
  <c r="A1473" i="2"/>
  <c r="B44" i="25" s="1"/>
  <c r="B51" i="27" s="1"/>
  <c r="A1474" i="2"/>
  <c r="B45" i="25" s="1"/>
  <c r="A1475" i="2"/>
  <c r="B46" i="25" s="1"/>
  <c r="A1476" i="2"/>
  <c r="B47" i="25" s="1"/>
  <c r="A1477" i="2"/>
  <c r="B48" i="25" s="1"/>
  <c r="A1478" i="2"/>
  <c r="B49" i="25" s="1"/>
  <c r="A1479" i="2"/>
  <c r="B50" i="25" s="1"/>
  <c r="A1480" i="2"/>
  <c r="B51" i="25" s="1"/>
  <c r="A1481" i="2"/>
  <c r="B52" i="25" s="1"/>
  <c r="A1482" i="2"/>
  <c r="B53" i="25" s="1"/>
  <c r="A1483" i="2"/>
  <c r="B55" i="25" s="1"/>
  <c r="A1484" i="2"/>
  <c r="B56" i="25" s="1"/>
  <c r="B52" i="27" s="1"/>
  <c r="A1485" i="2"/>
  <c r="B57" i="25" s="1"/>
  <c r="A1486" i="2"/>
  <c r="B58" i="25" s="1"/>
  <c r="A1487" i="2"/>
  <c r="B59" i="25" s="1"/>
  <c r="A1488" i="2"/>
  <c r="B60" i="25" s="1"/>
  <c r="B53" i="27" s="1"/>
  <c r="A1489" i="2"/>
  <c r="B61" i="25" s="1"/>
  <c r="B54" i="27" s="1"/>
  <c r="A1490" i="2"/>
  <c r="B62" i="25" s="1"/>
  <c r="A1491" i="2"/>
  <c r="B63" i="25" s="1"/>
  <c r="A1492" i="2"/>
  <c r="B64" i="25" s="1"/>
  <c r="A1493" i="2"/>
  <c r="B65" i="25" s="1"/>
  <c r="A1494" i="2"/>
  <c r="B66" i="25" s="1"/>
  <c r="A1495" i="2"/>
  <c r="B67" i="25" s="1"/>
  <c r="A1496" i="2"/>
  <c r="B68" i="25" s="1"/>
  <c r="A1497" i="2"/>
  <c r="B69" i="25" s="1"/>
  <c r="A1498" i="2"/>
  <c r="B70" i="25" s="1"/>
  <c r="A1499" i="2"/>
  <c r="B71" i="25" s="1"/>
  <c r="A1500" i="2"/>
  <c r="B72" i="25" s="1"/>
  <c r="A1501" i="2"/>
  <c r="B74" i="25" s="1"/>
  <c r="A1502" i="2"/>
  <c r="A1503" i="2"/>
  <c r="B76" i="25" s="1"/>
  <c r="B55" i="27" s="1"/>
  <c r="A1504" i="2"/>
  <c r="B77" i="25" s="1"/>
  <c r="B56" i="27" s="1"/>
  <c r="A1505" i="2"/>
  <c r="B78" i="25" s="1"/>
  <c r="B57" i="27" s="1"/>
  <c r="A1506" i="2"/>
  <c r="B79" i="25" s="1"/>
  <c r="B58" i="27" s="1"/>
  <c r="A1507" i="2"/>
  <c r="B80" i="25" s="1"/>
  <c r="B59" i="27" s="1"/>
  <c r="A1508" i="2"/>
  <c r="B81" i="25" s="1"/>
  <c r="A1509" i="2"/>
  <c r="B82" i="25" s="1"/>
  <c r="A1510" i="2"/>
  <c r="B83" i="25" s="1"/>
  <c r="A1511" i="2"/>
  <c r="B84" i="25" s="1"/>
  <c r="A1512" i="2"/>
  <c r="B85" i="25" s="1"/>
  <c r="A1513" i="2"/>
  <c r="B86" i="25" s="1"/>
  <c r="A1514" i="2"/>
  <c r="B87" i="25" s="1"/>
  <c r="A1515" i="2"/>
  <c r="B88" i="25" s="1"/>
  <c r="A1516" i="2"/>
  <c r="B89" i="25" s="1"/>
  <c r="A1517" i="2"/>
  <c r="B90" i="25" s="1"/>
  <c r="A1518" i="2"/>
  <c r="B91" i="25" s="1"/>
  <c r="A1519" i="2"/>
  <c r="B92" i="25" s="1"/>
  <c r="A1520" i="2"/>
  <c r="B93" i="25" s="1"/>
  <c r="A1521" i="2"/>
  <c r="B94" i="25" s="1"/>
  <c r="A1522" i="2"/>
  <c r="B95" i="25" s="1"/>
  <c r="B128" i="27" s="1"/>
  <c r="A1523" i="2"/>
  <c r="B96" i="25" s="1"/>
  <c r="A1524" i="2"/>
  <c r="B98" i="25" s="1"/>
  <c r="A1525" i="2"/>
  <c r="B99" i="25" s="1"/>
  <c r="A1526" i="2"/>
  <c r="B100" i="25" s="1"/>
  <c r="A1527" i="2"/>
  <c r="B101" i="25" s="1"/>
  <c r="A1528" i="2"/>
  <c r="B102" i="25" s="1"/>
  <c r="B60" i="27" s="1"/>
  <c r="A1529" i="2"/>
  <c r="B103" i="25" s="1"/>
  <c r="B61" i="27" s="1"/>
  <c r="A1530" i="2"/>
  <c r="B104" i="25" s="1"/>
  <c r="A1531" i="2"/>
  <c r="B105" i="25" s="1"/>
  <c r="B62" i="27" s="1"/>
  <c r="A1532" i="2"/>
  <c r="B106" i="25" s="1"/>
  <c r="B63" i="27" s="1"/>
  <c r="A1533" i="2"/>
  <c r="B107" i="25" s="1"/>
  <c r="A1534" i="2"/>
  <c r="B108" i="25" s="1"/>
  <c r="A1535" i="2"/>
  <c r="B109" i="25" s="1"/>
  <c r="A1536" i="2"/>
  <c r="B110" i="25" s="1"/>
  <c r="A1537" i="2"/>
  <c r="B111" i="25" s="1"/>
  <c r="B64" i="27" s="1"/>
  <c r="A1538" i="2"/>
  <c r="B113" i="25" s="1"/>
  <c r="A1539" i="2"/>
  <c r="B114" i="25" s="1"/>
  <c r="A1540" i="2"/>
  <c r="B115" i="25" s="1"/>
  <c r="A1541" i="2"/>
  <c r="B116" i="25" s="1"/>
  <c r="A1542" i="2"/>
  <c r="B117" i="25" s="1"/>
  <c r="A1543" i="2"/>
  <c r="B118" i="25" s="1"/>
  <c r="A1544" i="2"/>
  <c r="B119" i="25" s="1"/>
  <c r="A1545" i="2"/>
  <c r="B120" i="25" s="1"/>
  <c r="A1546" i="2"/>
  <c r="B121" i="25" s="1"/>
  <c r="A1547" i="2"/>
  <c r="B122" i="25" s="1"/>
  <c r="A1548" i="2"/>
  <c r="B123" i="25" s="1"/>
  <c r="A1549" i="2"/>
  <c r="B124" i="25" s="1"/>
  <c r="B65" i="27" s="1"/>
  <c r="A1550" i="2"/>
  <c r="B125" i="25" s="1"/>
  <c r="B66" i="27" s="1"/>
  <c r="A1551" i="2"/>
  <c r="B126" i="25" s="1"/>
  <c r="B67" i="27" s="1"/>
  <c r="A1552" i="2"/>
  <c r="B127" i="25" s="1"/>
  <c r="B68" i="27" s="1"/>
  <c r="A1553" i="2"/>
  <c r="B128" i="25" s="1"/>
  <c r="B69" i="27" s="1"/>
  <c r="A1554" i="2"/>
  <c r="B129" i="25" s="1"/>
  <c r="B70" i="27" s="1"/>
  <c r="A1555" i="2"/>
  <c r="B130" i="25" s="1"/>
  <c r="B71" i="27" s="1"/>
  <c r="A1556" i="2"/>
  <c r="B131" i="25" s="1"/>
  <c r="B72" i="27" s="1"/>
  <c r="A1557" i="2"/>
  <c r="B132" i="25" s="1"/>
  <c r="B73" i="27" s="1"/>
  <c r="A1558" i="2"/>
  <c r="B133" i="25" s="1"/>
  <c r="B74" i="27" s="1"/>
  <c r="A1559" i="2"/>
  <c r="B134" i="25" s="1"/>
  <c r="B75" i="27" s="1"/>
  <c r="A1560" i="2"/>
  <c r="B135" i="25" s="1"/>
  <c r="A1561" i="2"/>
  <c r="B136" i="25" s="1"/>
  <c r="A1562" i="2"/>
  <c r="B137" i="25" s="1"/>
  <c r="A1563" i="2"/>
  <c r="B138" i="25" s="1"/>
  <c r="A1564" i="2"/>
  <c r="B139" i="25" s="1"/>
  <c r="A1565" i="2"/>
  <c r="B140" i="25" s="1"/>
  <c r="B76" i="27" s="1"/>
  <c r="A1566" i="2"/>
  <c r="B142" i="25" s="1"/>
  <c r="A1567" i="2"/>
  <c r="B143" i="25" s="1"/>
  <c r="A1568" i="2"/>
  <c r="B144" i="25" s="1"/>
  <c r="A1569" i="2"/>
  <c r="B145" i="25" s="1"/>
  <c r="A1570" i="2"/>
  <c r="B146" i="25" s="1"/>
  <c r="A1571" i="2"/>
  <c r="B147" i="25" s="1"/>
  <c r="A1572" i="2"/>
  <c r="B148" i="25" s="1"/>
  <c r="B77" i="27" s="1"/>
  <c r="A1573" i="2"/>
  <c r="B150" i="25" s="1"/>
  <c r="A1574" i="2"/>
  <c r="B151" i="25" s="1"/>
  <c r="B78" i="27" s="1"/>
  <c r="A1575" i="2"/>
  <c r="B152" i="25" s="1"/>
  <c r="A1576" i="2"/>
  <c r="B153" i="25" s="1"/>
  <c r="B79" i="27" s="1"/>
  <c r="A1577" i="2"/>
  <c r="B154" i="25" s="1"/>
  <c r="B80" i="27" s="1"/>
  <c r="A1578" i="2"/>
  <c r="B155" i="25" s="1"/>
  <c r="B81" i="27" s="1"/>
  <c r="A1579" i="2"/>
  <c r="B156" i="25" s="1"/>
  <c r="B82" i="27" s="1"/>
  <c r="A1580" i="2"/>
  <c r="B157" i="25" s="1"/>
  <c r="B83" i="27" s="1"/>
  <c r="A1581" i="2"/>
  <c r="B158" i="25" s="1"/>
  <c r="B84" i="27" s="1"/>
  <c r="A1582" i="2"/>
  <c r="B159" i="25" s="1"/>
  <c r="B85" i="27" s="1"/>
  <c r="A1583" i="2"/>
  <c r="B160" i="25" s="1"/>
  <c r="B86" i="27" s="1"/>
  <c r="A1584" i="2"/>
  <c r="B1" i="35" s="1"/>
  <c r="A1585" i="2"/>
  <c r="B2" i="35" s="1"/>
  <c r="A1586" i="2"/>
  <c r="B3" i="35" s="1"/>
  <c r="A1587" i="2"/>
  <c r="B4" i="35" s="1"/>
  <c r="A1588" i="2"/>
  <c r="B5" i="35" s="1"/>
  <c r="A1589" i="2"/>
  <c r="B6" i="35" s="1"/>
  <c r="A1590" i="2"/>
  <c r="B7" i="35" s="1"/>
  <c r="A1591" i="2"/>
  <c r="B8" i="35" s="1"/>
  <c r="A1592" i="2"/>
  <c r="B9" i="35" s="1"/>
  <c r="A1593" i="2"/>
  <c r="B10" i="35" s="1"/>
  <c r="A1594" i="2"/>
  <c r="B11" i="35" s="1"/>
  <c r="A1595" i="2"/>
  <c r="B12" i="35" s="1"/>
  <c r="A1596" i="2"/>
  <c r="B13" i="35" s="1"/>
  <c r="A1597" i="2"/>
  <c r="B14" i="35" s="1"/>
  <c r="A1598" i="2"/>
  <c r="B15" i="35" s="1"/>
  <c r="A1599" i="2"/>
  <c r="B16" i="35" s="1"/>
  <c r="A1600" i="2"/>
  <c r="B18" i="35" s="1"/>
  <c r="A1601" i="2"/>
  <c r="B19" i="35" s="1"/>
  <c r="A1602" i="2"/>
  <c r="A1603" i="2"/>
  <c r="B20" i="35" s="1"/>
  <c r="A1604" i="2"/>
  <c r="B21" i="35" s="1"/>
  <c r="A1605" i="2"/>
  <c r="B22" i="35" s="1"/>
  <c r="A1606" i="2"/>
  <c r="B23" i="35" s="1"/>
  <c r="A1607" i="2"/>
  <c r="B24" i="35" s="1"/>
  <c r="A1608" i="2"/>
  <c r="B25" i="35" s="1"/>
  <c r="A1609" i="2"/>
  <c r="B26" i="35" s="1"/>
  <c r="A1610" i="2"/>
  <c r="B27" i="35" s="1"/>
  <c r="A1611" i="2"/>
  <c r="B28" i="35" s="1"/>
  <c r="A1612" i="2"/>
  <c r="B29" i="35" s="1"/>
  <c r="A1613" i="2"/>
  <c r="B30" i="35" s="1"/>
  <c r="A1614" i="2"/>
  <c r="B31" i="35" s="1"/>
  <c r="A1615" i="2"/>
  <c r="B32" i="35" s="1"/>
  <c r="A1616" i="2"/>
  <c r="B34" i="35" s="1"/>
  <c r="A1617" i="2"/>
  <c r="A1618" i="2"/>
  <c r="B36" i="35" s="1"/>
  <c r="A1619" i="2"/>
  <c r="B37" i="35" s="1"/>
  <c r="B152" i="27" s="1"/>
  <c r="A1620" i="2"/>
  <c r="B38" i="35" s="1"/>
  <c r="A1621" i="2"/>
  <c r="B39" i="35" s="1"/>
  <c r="A1622" i="2"/>
  <c r="B40" i="35" s="1"/>
  <c r="A1623" i="2"/>
  <c r="B41" i="35" s="1"/>
  <c r="A1624" i="2"/>
  <c r="B42" i="35" s="1"/>
  <c r="A1625" i="2"/>
  <c r="B43" i="35" s="1"/>
  <c r="B87" i="27" s="1"/>
  <c r="A1626" i="2"/>
  <c r="B44" i="35" s="1"/>
  <c r="B153" i="27" s="1"/>
  <c r="A1627" i="2"/>
  <c r="B45" i="35" s="1"/>
  <c r="B154" i="27" s="1"/>
  <c r="A1628" i="2"/>
  <c r="B46" i="35" s="1"/>
  <c r="B155" i="27" s="1"/>
  <c r="A1629" i="2"/>
  <c r="B47" i="35" s="1"/>
  <c r="B156" i="27" s="1"/>
  <c r="A1630" i="2"/>
  <c r="B48" i="35" s="1"/>
  <c r="B157" i="27" s="1"/>
  <c r="A1631" i="2"/>
  <c r="B1" i="9" s="1"/>
  <c r="A1632" i="2"/>
  <c r="B2" i="9" s="1"/>
  <c r="A1633" i="2"/>
  <c r="B3" i="9" s="1"/>
  <c r="A1634" i="2"/>
  <c r="B4" i="9" s="1"/>
  <c r="B88" i="27" s="1"/>
  <c r="A1635" i="2"/>
  <c r="B5" i="9" s="1"/>
  <c r="B89" i="27" s="1"/>
  <c r="A1636" i="2"/>
  <c r="B6" i="9" s="1"/>
  <c r="B90" i="27" s="1"/>
  <c r="A1637" i="2"/>
  <c r="B7" i="9" s="1"/>
  <c r="B91" i="27" s="1"/>
  <c r="A1638" i="2"/>
  <c r="B8" i="9" s="1"/>
  <c r="B92" i="27" s="1"/>
  <c r="A1639" i="2"/>
  <c r="B9" i="9" s="1"/>
  <c r="B93" i="27" s="1"/>
  <c r="A1640" i="2"/>
  <c r="B10" i="9" s="1"/>
  <c r="B94" i="27" s="1"/>
  <c r="A1641" i="2"/>
  <c r="B11" i="9" s="1"/>
  <c r="B95" i="27" s="1"/>
  <c r="A1642" i="2"/>
  <c r="B12" i="9" s="1"/>
  <c r="B96" i="27" s="1"/>
  <c r="A1643" i="2"/>
  <c r="B13" i="9" s="1"/>
  <c r="B97" i="27" s="1"/>
  <c r="A1644" i="2"/>
  <c r="B14" i="9" s="1"/>
  <c r="A1645" i="2"/>
  <c r="B15" i="9" s="1"/>
  <c r="A1646" i="2"/>
  <c r="B16" i="9" s="1"/>
  <c r="B98" i="27" s="1"/>
  <c r="A1647" i="2"/>
  <c r="B17" i="9" s="1"/>
  <c r="A1648" i="2"/>
  <c r="B18" i="9" s="1"/>
  <c r="A1649" i="2"/>
  <c r="B19" i="9" s="1"/>
  <c r="B99" i="27" s="1"/>
  <c r="A1650" i="2"/>
  <c r="B20" i="9" s="1"/>
  <c r="B100" i="27" s="1"/>
  <c r="A1651" i="2"/>
  <c r="B21" i="9" s="1"/>
  <c r="B101" i="27" s="1"/>
  <c r="A1652" i="2"/>
  <c r="B22" i="9" s="1"/>
  <c r="B102" i="27" s="1"/>
  <c r="A1653" i="2"/>
  <c r="B23" i="9" s="1"/>
  <c r="B103" i="27" s="1"/>
  <c r="A1654" i="2"/>
  <c r="B24" i="9" s="1"/>
  <c r="B104" i="27" s="1"/>
  <c r="A1655" i="2"/>
  <c r="B25" i="9" s="1"/>
  <c r="B105" i="27" s="1"/>
  <c r="A1656" i="2"/>
  <c r="B26" i="9" s="1"/>
  <c r="A1657" i="2"/>
  <c r="B27" i="9" s="1"/>
  <c r="A1658" i="2"/>
  <c r="B29" i="9" s="1"/>
  <c r="A1659" i="2"/>
  <c r="B30" i="9" s="1"/>
  <c r="B106" i="27" s="1"/>
  <c r="A1660" i="2"/>
  <c r="B31" i="9" s="1"/>
  <c r="B107" i="27" s="1"/>
  <c r="A1661" i="2"/>
  <c r="B32" i="9" s="1"/>
  <c r="B108" i="27" s="1"/>
  <c r="A1662" i="2"/>
  <c r="B33" i="9" s="1"/>
  <c r="B109" i="27" s="1"/>
  <c r="A1663" i="2"/>
  <c r="B34" i="9" s="1"/>
  <c r="B110" i="27" s="1"/>
  <c r="A1664" i="2"/>
  <c r="B35" i="9" s="1"/>
  <c r="B111" i="27" s="1"/>
  <c r="A1665" i="2"/>
  <c r="B36" i="9" s="1"/>
  <c r="B112" i="27" s="1"/>
  <c r="A1666" i="2"/>
  <c r="B37" i="9" s="1"/>
  <c r="B113" i="27" s="1"/>
  <c r="A1667" i="2"/>
  <c r="B38" i="9" s="1"/>
  <c r="A1668" i="2"/>
  <c r="B40" i="9" s="1"/>
  <c r="A1669" i="2"/>
  <c r="B41" i="9" s="1"/>
  <c r="A1670" i="2"/>
  <c r="B42" i="9" s="1"/>
  <c r="A1671" i="2"/>
  <c r="B43" i="9" s="1"/>
  <c r="B114" i="27" s="1"/>
  <c r="A1672" i="2"/>
  <c r="B44" i="9" s="1"/>
  <c r="A1673" i="2"/>
  <c r="B45" i="9" s="1"/>
  <c r="A5" i="2"/>
  <c r="B3" i="2" s="1"/>
  <c r="A6" i="2"/>
  <c r="C3" i="2" s="1"/>
  <c r="A9" i="2"/>
  <c r="E9" i="14" s="1"/>
  <c r="A4" i="2"/>
  <c r="A1" i="2" s="1"/>
  <c r="F77" i="25"/>
  <c r="G77" i="25" s="1"/>
  <c r="F82" i="25"/>
  <c r="G82" i="25" s="1"/>
  <c r="F81" i="25"/>
  <c r="G81" i="25" s="1"/>
  <c r="F80" i="25"/>
  <c r="G80" i="25" s="1"/>
  <c r="C74" i="25"/>
  <c r="F19" i="35"/>
  <c r="G19" i="35" s="1"/>
  <c r="C18" i="35" s="1"/>
  <c r="C176" i="1" s="1"/>
  <c r="JV6" i="38" s="1"/>
  <c r="F20" i="35"/>
  <c r="G20" i="35" s="1"/>
  <c r="F22" i="35"/>
  <c r="G22" i="35" s="1"/>
  <c r="F23" i="35"/>
  <c r="G23" i="35" s="1"/>
  <c r="F24" i="35"/>
  <c r="G24" i="35" s="1"/>
  <c r="F25" i="35"/>
  <c r="G25" i="35" s="1"/>
  <c r="F26" i="35"/>
  <c r="G26" i="35" s="1"/>
  <c r="F27" i="35"/>
  <c r="G27" i="35" s="1"/>
  <c r="F28" i="35"/>
  <c r="G28" i="35"/>
  <c r="F29" i="35"/>
  <c r="G29" i="35" s="1"/>
  <c r="F30" i="35"/>
  <c r="G30" i="35" s="1"/>
  <c r="F31" i="35"/>
  <c r="G31" i="35" s="1"/>
  <c r="F32" i="35"/>
  <c r="G32" i="35" s="1"/>
  <c r="F54" i="32"/>
  <c r="G54" i="32" s="1"/>
  <c r="F14" i="23"/>
  <c r="G14" i="23" s="1"/>
  <c r="F40" i="23"/>
  <c r="G40" i="23" s="1"/>
  <c r="F64" i="23"/>
  <c r="G64" i="23" s="1"/>
  <c r="F142" i="23"/>
  <c r="G142" i="23" s="1"/>
  <c r="F147" i="23"/>
  <c r="G147" i="23" s="1"/>
  <c r="F8" i="23"/>
  <c r="G8" i="23" s="1"/>
  <c r="F9" i="23"/>
  <c r="G9" i="23" s="1"/>
  <c r="F10" i="23"/>
  <c r="G10" i="23"/>
  <c r="F11" i="23"/>
  <c r="G11" i="23" s="1"/>
  <c r="F12" i="23"/>
  <c r="G12" i="23" s="1"/>
  <c r="F13" i="23"/>
  <c r="G13" i="23" s="1"/>
  <c r="F15" i="23"/>
  <c r="G15" i="23" s="1"/>
  <c r="F22" i="23"/>
  <c r="G22" i="23" s="1"/>
  <c r="C20" i="23" s="1"/>
  <c r="C65" i="1" s="1"/>
  <c r="GM6" i="38" s="1"/>
  <c r="F23" i="23"/>
  <c r="G23" i="23" s="1"/>
  <c r="F24" i="23"/>
  <c r="G24" i="23" s="1"/>
  <c r="F25" i="23"/>
  <c r="G25" i="23" s="1"/>
  <c r="F26" i="23"/>
  <c r="G26" i="23" s="1"/>
  <c r="F27" i="23"/>
  <c r="G27" i="23" s="1"/>
  <c r="F28" i="23"/>
  <c r="G28" i="23" s="1"/>
  <c r="F29" i="23"/>
  <c r="G29" i="23" s="1"/>
  <c r="F30" i="23"/>
  <c r="G30" i="23" s="1"/>
  <c r="F31" i="23"/>
  <c r="G31" i="23" s="1"/>
  <c r="F32" i="23"/>
  <c r="G32" i="23" s="1"/>
  <c r="F33" i="23"/>
  <c r="G33" i="23" s="1"/>
  <c r="F34" i="23"/>
  <c r="G34" i="23" s="1"/>
  <c r="F35" i="23"/>
  <c r="G35" i="23" s="1"/>
  <c r="F36" i="23"/>
  <c r="G36" i="23" s="1"/>
  <c r="F37" i="23"/>
  <c r="G37" i="23" s="1"/>
  <c r="F38" i="23"/>
  <c r="G38" i="23" s="1"/>
  <c r="F39" i="23"/>
  <c r="G39" i="23" s="1"/>
  <c r="F41" i="23"/>
  <c r="G41" i="23" s="1"/>
  <c r="F42" i="23"/>
  <c r="G42" i="23" s="1"/>
  <c r="F47" i="23"/>
  <c r="G47" i="23" s="1"/>
  <c r="F48" i="23"/>
  <c r="G48" i="23" s="1"/>
  <c r="F49" i="23"/>
  <c r="G49" i="23" s="1"/>
  <c r="F50" i="23"/>
  <c r="G50" i="23" s="1"/>
  <c r="F51" i="23"/>
  <c r="G51" i="23" s="1"/>
  <c r="F52" i="23"/>
  <c r="G52" i="23" s="1"/>
  <c r="F55" i="23"/>
  <c r="G55" i="23" s="1"/>
  <c r="F56" i="23"/>
  <c r="G56" i="23" s="1"/>
  <c r="F57" i="23"/>
  <c r="G57" i="23" s="1"/>
  <c r="F58" i="23"/>
  <c r="G58" i="23" s="1"/>
  <c r="F59" i="23"/>
  <c r="G59" i="23" s="1"/>
  <c r="F60" i="23"/>
  <c r="G60" i="23" s="1"/>
  <c r="F61" i="23"/>
  <c r="G61" i="23" s="1"/>
  <c r="F62" i="23"/>
  <c r="G62" i="23" s="1"/>
  <c r="F63" i="23"/>
  <c r="G63" i="23" s="1"/>
  <c r="F65" i="23"/>
  <c r="G65" i="23"/>
  <c r="F66" i="23"/>
  <c r="G66" i="23" s="1"/>
  <c r="F69" i="23"/>
  <c r="G69" i="23" s="1"/>
  <c r="F70" i="23"/>
  <c r="G70" i="23" s="1"/>
  <c r="F71" i="23"/>
  <c r="G71" i="23" s="1"/>
  <c r="F72" i="23"/>
  <c r="G72" i="23" s="1"/>
  <c r="F73" i="23"/>
  <c r="G73" i="23" s="1"/>
  <c r="F74" i="23"/>
  <c r="G74" i="23" s="1"/>
  <c r="F75" i="23"/>
  <c r="G75" i="23" s="1"/>
  <c r="F76" i="23"/>
  <c r="G76" i="23" s="1"/>
  <c r="F77" i="23"/>
  <c r="G77" i="23" s="1"/>
  <c r="F103" i="23"/>
  <c r="G103" i="23" s="1"/>
  <c r="F108" i="23"/>
  <c r="G108" i="23" s="1"/>
  <c r="F113" i="23"/>
  <c r="G113" i="23" s="1"/>
  <c r="F114" i="23"/>
  <c r="G114" i="23" s="1"/>
  <c r="F115" i="23"/>
  <c r="G115" i="23" s="1"/>
  <c r="F116" i="23"/>
  <c r="G116" i="23" s="1"/>
  <c r="F117" i="23"/>
  <c r="G117" i="23" s="1"/>
  <c r="F118" i="23"/>
  <c r="G118" i="23" s="1"/>
  <c r="F121" i="23"/>
  <c r="G121" i="23" s="1"/>
  <c r="C119" i="23" s="1"/>
  <c r="C73" i="1" s="1"/>
  <c r="GU6" i="38" s="1"/>
  <c r="F122" i="23"/>
  <c r="G122" i="23" s="1"/>
  <c r="F123" i="23"/>
  <c r="G123" i="23" s="1"/>
  <c r="F124" i="23"/>
  <c r="G124" i="23" s="1"/>
  <c r="F125" i="23"/>
  <c r="G125" i="23" s="1"/>
  <c r="F126" i="23"/>
  <c r="G126" i="23" s="1"/>
  <c r="F127" i="23"/>
  <c r="G127" i="23" s="1"/>
  <c r="F128" i="23"/>
  <c r="G128" i="23" s="1"/>
  <c r="F129" i="23"/>
  <c r="G129" i="23" s="1"/>
  <c r="F130" i="23"/>
  <c r="G130" i="23" s="1"/>
  <c r="F131" i="23"/>
  <c r="G131" i="23" s="1"/>
  <c r="F132" i="23"/>
  <c r="G132" i="23" s="1"/>
  <c r="F133" i="23"/>
  <c r="G133" i="23" s="1"/>
  <c r="F134" i="23"/>
  <c r="G134" i="23"/>
  <c r="F135" i="23"/>
  <c r="G135" i="23" s="1"/>
  <c r="F136" i="23"/>
  <c r="G136" i="23" s="1"/>
  <c r="F137" i="23"/>
  <c r="G137" i="23" s="1"/>
  <c r="F138" i="23"/>
  <c r="G138" i="23" s="1"/>
  <c r="F139" i="23"/>
  <c r="G139" i="23" s="1"/>
  <c r="F140" i="23"/>
  <c r="G140" i="23" s="1"/>
  <c r="F141" i="23"/>
  <c r="G141" i="23" s="1"/>
  <c r="F143" i="23"/>
  <c r="G143" i="23" s="1"/>
  <c r="F144" i="23"/>
  <c r="G144" i="23" s="1"/>
  <c r="F145" i="23"/>
  <c r="G145" i="23" s="1"/>
  <c r="F146" i="23"/>
  <c r="G146" i="23" s="1"/>
  <c r="F148" i="23"/>
  <c r="G148" i="23" s="1"/>
  <c r="F149" i="23"/>
  <c r="G149" i="23" s="1"/>
  <c r="F150" i="23"/>
  <c r="G150" i="23" s="1"/>
  <c r="F151" i="23"/>
  <c r="G151" i="23" s="1"/>
  <c r="F152" i="23"/>
  <c r="G152" i="23" s="1"/>
  <c r="F153" i="23"/>
  <c r="G153" i="23" s="1"/>
  <c r="F154" i="23"/>
  <c r="G154" i="23" s="1"/>
  <c r="F155" i="23"/>
  <c r="G155" i="23" s="1"/>
  <c r="F156" i="23"/>
  <c r="F157" i="23"/>
  <c r="G157" i="23" s="1"/>
  <c r="F159" i="23"/>
  <c r="G159" i="23" s="1"/>
  <c r="F160" i="23"/>
  <c r="G160" i="23" s="1"/>
  <c r="F161" i="23"/>
  <c r="G161" i="23" s="1"/>
  <c r="F162" i="23"/>
  <c r="G162" i="23" s="1"/>
  <c r="F163" i="23"/>
  <c r="G163" i="23" s="1"/>
  <c r="F164" i="23"/>
  <c r="G164" i="23" s="1"/>
  <c r="F165" i="23"/>
  <c r="G165" i="23" s="1"/>
  <c r="F166" i="23"/>
  <c r="G166" i="23" s="1"/>
  <c r="F167" i="23"/>
  <c r="G167" i="23" s="1"/>
  <c r="F168" i="23"/>
  <c r="G168" i="23" s="1"/>
  <c r="F169" i="23"/>
  <c r="G169" i="23" s="1"/>
  <c r="F171" i="23"/>
  <c r="G171" i="23" s="1"/>
  <c r="F173" i="23"/>
  <c r="G173" i="23" s="1"/>
  <c r="F69" i="34"/>
  <c r="G69" i="34"/>
  <c r="F54" i="34"/>
  <c r="G54" i="34" s="1"/>
  <c r="F55" i="34"/>
  <c r="G55" i="34" s="1"/>
  <c r="F58" i="34"/>
  <c r="G58" i="34" s="1"/>
  <c r="F59" i="34"/>
  <c r="G59" i="34"/>
  <c r="F60" i="34"/>
  <c r="G60" i="34" s="1"/>
  <c r="F61" i="34"/>
  <c r="G61" i="34" s="1"/>
  <c r="F62" i="34"/>
  <c r="G62" i="34" s="1"/>
  <c r="F40" i="34"/>
  <c r="G40" i="34" s="1"/>
  <c r="F5" i="34"/>
  <c r="G5" i="34" s="1"/>
  <c r="F6" i="34"/>
  <c r="G6" i="34" s="1"/>
  <c r="F7" i="34"/>
  <c r="G7" i="34" s="1"/>
  <c r="F8" i="34"/>
  <c r="G8" i="34" s="1"/>
  <c r="F9" i="34"/>
  <c r="G9" i="34" s="1"/>
  <c r="F10" i="34"/>
  <c r="G10" i="34" s="1"/>
  <c r="G11" i="34"/>
  <c r="F12" i="34"/>
  <c r="G12" i="34"/>
  <c r="F13" i="34"/>
  <c r="G13" i="34"/>
  <c r="F14" i="34"/>
  <c r="G14" i="34"/>
  <c r="F15" i="34"/>
  <c r="G15" i="34"/>
  <c r="F16" i="34"/>
  <c r="G16" i="34"/>
  <c r="F21" i="34"/>
  <c r="G21" i="34" s="1"/>
  <c r="C19" i="34" s="1"/>
  <c r="C119" i="1" s="1"/>
  <c r="IC6" i="38" s="1"/>
  <c r="F22" i="34"/>
  <c r="G22" i="34"/>
  <c r="F23" i="34"/>
  <c r="G23" i="34"/>
  <c r="F24" i="34"/>
  <c r="G24" i="34"/>
  <c r="F25" i="34"/>
  <c r="G25" i="34"/>
  <c r="F26" i="34"/>
  <c r="G26" i="34"/>
  <c r="F27" i="34"/>
  <c r="G27" i="34"/>
  <c r="F28" i="34"/>
  <c r="G28" i="34"/>
  <c r="F29" i="34"/>
  <c r="G29" i="34"/>
  <c r="F31" i="34"/>
  <c r="G31" i="34"/>
  <c r="F41" i="34"/>
  <c r="G41" i="34"/>
  <c r="F44" i="34"/>
  <c r="G44" i="34"/>
  <c r="F45" i="34"/>
  <c r="G45" i="34"/>
  <c r="F46" i="34"/>
  <c r="G46" i="34"/>
  <c r="F47" i="34"/>
  <c r="G47" i="34"/>
  <c r="F48" i="34"/>
  <c r="G48" i="34"/>
  <c r="F68" i="34"/>
  <c r="G68" i="34"/>
  <c r="F70" i="34"/>
  <c r="G70" i="34"/>
  <c r="F73" i="34"/>
  <c r="G73" i="34"/>
  <c r="F74" i="34"/>
  <c r="G74" i="34"/>
  <c r="F75" i="34"/>
  <c r="G75" i="34"/>
  <c r="F76" i="34"/>
  <c r="G76" i="34"/>
  <c r="F77" i="34"/>
  <c r="G77" i="34"/>
  <c r="F50" i="25"/>
  <c r="G50" i="25" s="1"/>
  <c r="F6" i="25"/>
  <c r="G6" i="25" s="1"/>
  <c r="F7" i="25"/>
  <c r="G7" i="25" s="1"/>
  <c r="F8" i="25"/>
  <c r="G8" i="25" s="1"/>
  <c r="F9" i="25"/>
  <c r="G9" i="25" s="1"/>
  <c r="F10" i="25"/>
  <c r="G10" i="25" s="1"/>
  <c r="F61" i="25"/>
  <c r="G61" i="25" s="1"/>
  <c r="F11" i="25"/>
  <c r="G11" i="25"/>
  <c r="F21" i="25"/>
  <c r="G21" i="25" s="1"/>
  <c r="C13" i="25" s="1"/>
  <c r="C164" i="1" s="1"/>
  <c r="JL6" i="38" s="1"/>
  <c r="F22" i="25"/>
  <c r="G22" i="25" s="1"/>
  <c r="F23" i="25"/>
  <c r="G23" i="25" s="1"/>
  <c r="F24" i="25"/>
  <c r="G24" i="25" s="1"/>
  <c r="F25" i="25"/>
  <c r="G25" i="25" s="1"/>
  <c r="F26" i="25"/>
  <c r="G26" i="25" s="1"/>
  <c r="F27" i="25"/>
  <c r="G27" i="25" s="1"/>
  <c r="F28" i="25"/>
  <c r="G28" i="25" s="1"/>
  <c r="F29" i="25"/>
  <c r="G29" i="25" s="1"/>
  <c r="F30" i="25"/>
  <c r="G30" i="25" s="1"/>
  <c r="F31" i="25"/>
  <c r="G31" i="25" s="1"/>
  <c r="F32" i="25"/>
  <c r="G32" i="25" s="1"/>
  <c r="F33" i="25"/>
  <c r="G33" i="25" s="1"/>
  <c r="F34" i="25"/>
  <c r="G34" i="25" s="1"/>
  <c r="F35" i="25"/>
  <c r="G35" i="25" s="1"/>
  <c r="F36" i="25"/>
  <c r="G36" i="25" s="1"/>
  <c r="F37" i="25"/>
  <c r="G37" i="25" s="1"/>
  <c r="F38" i="25"/>
  <c r="G38" i="25" s="1"/>
  <c r="F39" i="25"/>
  <c r="G39" i="25" s="1"/>
  <c r="F43" i="25"/>
  <c r="G43" i="25"/>
  <c r="F44" i="25"/>
  <c r="G44" i="25" s="1"/>
  <c r="F45" i="25"/>
  <c r="G45" i="25" s="1"/>
  <c r="F47" i="25"/>
  <c r="G47" i="25" s="1"/>
  <c r="F49" i="25"/>
  <c r="G49" i="25" s="1"/>
  <c r="F51" i="25"/>
  <c r="G51" i="25" s="1"/>
  <c r="F52" i="25"/>
  <c r="G52" i="25" s="1"/>
  <c r="F53" i="25"/>
  <c r="G53" i="25" s="1"/>
  <c r="F56" i="25"/>
  <c r="G56" i="25" s="1"/>
  <c r="F58" i="25"/>
  <c r="G58" i="25" s="1"/>
  <c r="F62" i="25"/>
  <c r="G62" i="25" s="1"/>
  <c r="F63" i="25"/>
  <c r="G63" i="25" s="1"/>
  <c r="F64" i="25"/>
  <c r="G64" i="25" s="1"/>
  <c r="F65" i="25"/>
  <c r="G65" i="25" s="1"/>
  <c r="F66" i="25"/>
  <c r="G66" i="25" s="1"/>
  <c r="F67" i="25"/>
  <c r="G67" i="25" s="1"/>
  <c r="F68" i="25"/>
  <c r="G68" i="25" s="1"/>
  <c r="F69" i="25"/>
  <c r="G69" i="25"/>
  <c r="F71" i="25"/>
  <c r="G71" i="25" s="1"/>
  <c r="F72" i="25"/>
  <c r="G72" i="25" s="1"/>
  <c r="F78" i="25"/>
  <c r="G78" i="25" s="1"/>
  <c r="F79" i="25"/>
  <c r="G79" i="25" s="1"/>
  <c r="F84" i="25"/>
  <c r="G84" i="25" s="1"/>
  <c r="F85" i="25"/>
  <c r="G85" i="25" s="1"/>
  <c r="F87" i="25"/>
  <c r="G87" i="25" s="1"/>
  <c r="F88" i="25"/>
  <c r="G88" i="25" s="1"/>
  <c r="F89" i="25"/>
  <c r="G89" i="25" s="1"/>
  <c r="F90" i="25"/>
  <c r="G90" i="25" s="1"/>
  <c r="F91" i="25"/>
  <c r="G91" i="25" s="1"/>
  <c r="F93" i="25"/>
  <c r="G93" i="25" s="1"/>
  <c r="G94" i="25"/>
  <c r="F95" i="25"/>
  <c r="G95" i="25" s="1"/>
  <c r="F96" i="25"/>
  <c r="G96" i="25" s="1"/>
  <c r="F101" i="25"/>
  <c r="G101" i="25" s="1"/>
  <c r="F102" i="25"/>
  <c r="G102" i="25" s="1"/>
  <c r="F103" i="25"/>
  <c r="G103" i="25" s="1"/>
  <c r="F105" i="25"/>
  <c r="G105" i="25" s="1"/>
  <c r="F106" i="25"/>
  <c r="G106" i="25" s="1"/>
  <c r="F107" i="25"/>
  <c r="G107" i="25" s="1"/>
  <c r="F109" i="25"/>
  <c r="G109" i="25" s="1"/>
  <c r="F111" i="25"/>
  <c r="G111" i="25" s="1"/>
  <c r="F116" i="25"/>
  <c r="G116" i="25" s="1"/>
  <c r="F117" i="25"/>
  <c r="G117" i="25" s="1"/>
  <c r="F118" i="25"/>
  <c r="G118" i="25" s="1"/>
  <c r="F119" i="25"/>
  <c r="G119" i="25" s="1"/>
  <c r="F120" i="25"/>
  <c r="G120" i="25" s="1"/>
  <c r="F125" i="25"/>
  <c r="G125" i="25" s="1"/>
  <c r="F126" i="25"/>
  <c r="G126" i="25" s="1"/>
  <c r="F127" i="25"/>
  <c r="G127" i="25" s="1"/>
  <c r="F128" i="25"/>
  <c r="G128" i="25" s="1"/>
  <c r="F129" i="25"/>
  <c r="G129" i="25" s="1"/>
  <c r="F130" i="25"/>
  <c r="G130" i="25" s="1"/>
  <c r="F131" i="25"/>
  <c r="G131" i="25" s="1"/>
  <c r="F132" i="25"/>
  <c r="G132" i="25" s="1"/>
  <c r="F133" i="25"/>
  <c r="G133" i="25" s="1"/>
  <c r="F134" i="25"/>
  <c r="G134" i="25" s="1"/>
  <c r="F136" i="25"/>
  <c r="G136" i="25" s="1"/>
  <c r="F137" i="25"/>
  <c r="G137" i="25" s="1"/>
  <c r="F138" i="25"/>
  <c r="G138" i="25" s="1"/>
  <c r="F139" i="25"/>
  <c r="G139" i="25" s="1"/>
  <c r="F140" i="25"/>
  <c r="G140" i="25" s="1"/>
  <c r="F143" i="25"/>
  <c r="G143" i="25" s="1"/>
  <c r="F144" i="25"/>
  <c r="G144" i="25" s="1"/>
  <c r="F145" i="25"/>
  <c r="G145" i="25" s="1"/>
  <c r="F146" i="25"/>
  <c r="G146" i="25" s="1"/>
  <c r="F147" i="25"/>
  <c r="G147" i="25" s="1"/>
  <c r="F148" i="25"/>
  <c r="G148" i="25" s="1"/>
  <c r="F153" i="25"/>
  <c r="G153" i="25" s="1"/>
  <c r="F154" i="25"/>
  <c r="G154" i="25" s="1"/>
  <c r="F155" i="25"/>
  <c r="G155" i="25" s="1"/>
  <c r="F156" i="25"/>
  <c r="G156" i="25" s="1"/>
  <c r="F157" i="25"/>
  <c r="G157" i="25" s="1"/>
  <c r="F158" i="25"/>
  <c r="G158" i="25" s="1"/>
  <c r="F159" i="25"/>
  <c r="G159" i="25" s="1"/>
  <c r="F160" i="25"/>
  <c r="G160" i="25" s="1"/>
  <c r="F5" i="35"/>
  <c r="G5" i="35" s="1"/>
  <c r="F6" i="35"/>
  <c r="G6" i="35" s="1"/>
  <c r="F7" i="35"/>
  <c r="G7" i="35" s="1"/>
  <c r="F8" i="35"/>
  <c r="G8" i="35" s="1"/>
  <c r="F9" i="35"/>
  <c r="G9" i="35"/>
  <c r="F10" i="35"/>
  <c r="G10" i="35" s="1"/>
  <c r="F11" i="35"/>
  <c r="G11" i="35" s="1"/>
  <c r="F12" i="35"/>
  <c r="G12" i="35" s="1"/>
  <c r="F14" i="35"/>
  <c r="G14" i="35" s="1"/>
  <c r="F15" i="35"/>
  <c r="G15" i="35" s="1"/>
  <c r="F16" i="35"/>
  <c r="G16" i="35" s="1"/>
  <c r="F35" i="35"/>
  <c r="G35" i="35" s="1"/>
  <c r="F37" i="35"/>
  <c r="G37" i="35"/>
  <c r="F43" i="35"/>
  <c r="G43" i="35" s="1"/>
  <c r="F44" i="35"/>
  <c r="G44" i="35"/>
  <c r="F45" i="35"/>
  <c r="G45" i="35" s="1"/>
  <c r="F46" i="35"/>
  <c r="G46" i="35"/>
  <c r="F47" i="35"/>
  <c r="G47" i="35" s="1"/>
  <c r="F48" i="35"/>
  <c r="G48" i="35"/>
  <c r="F47" i="20"/>
  <c r="G47" i="20" s="1"/>
  <c r="F3" i="20"/>
  <c r="G3" i="20" s="1"/>
  <c r="F4" i="20"/>
  <c r="G4" i="20" s="1"/>
  <c r="F5" i="20"/>
  <c r="G5" i="20" s="1"/>
  <c r="F6" i="20"/>
  <c r="G6" i="20" s="1"/>
  <c r="F8" i="20"/>
  <c r="G8" i="20" s="1"/>
  <c r="F10" i="20"/>
  <c r="G10" i="20" s="1"/>
  <c r="F12" i="20"/>
  <c r="G12" i="20" s="1"/>
  <c r="F14" i="20"/>
  <c r="G14" i="20" s="1"/>
  <c r="F15" i="20"/>
  <c r="G15" i="20" s="1"/>
  <c r="F16" i="20"/>
  <c r="G16" i="20" s="1"/>
  <c r="F18" i="20"/>
  <c r="G18" i="20" s="1"/>
  <c r="F22" i="20"/>
  <c r="G22" i="20" s="1"/>
  <c r="F23" i="20"/>
  <c r="G23" i="20" s="1"/>
  <c r="F24" i="20"/>
  <c r="G24" i="20" s="1"/>
  <c r="F25" i="20"/>
  <c r="G25" i="20" s="1"/>
  <c r="F27" i="20"/>
  <c r="G27" i="20" s="1"/>
  <c r="F28" i="20"/>
  <c r="G28" i="20" s="1"/>
  <c r="F29" i="20"/>
  <c r="G29" i="20" s="1"/>
  <c r="F30" i="20"/>
  <c r="G30" i="20" s="1"/>
  <c r="F31" i="20"/>
  <c r="G31" i="20" s="1"/>
  <c r="F32" i="20"/>
  <c r="G32" i="20" s="1"/>
  <c r="F33" i="20"/>
  <c r="G33" i="20" s="1"/>
  <c r="F34" i="20"/>
  <c r="G34" i="20" s="1"/>
  <c r="F37" i="20"/>
  <c r="G37" i="20" s="1"/>
  <c r="F38" i="20"/>
  <c r="G38" i="20" s="1"/>
  <c r="F39" i="20"/>
  <c r="G39" i="20" s="1"/>
  <c r="F41" i="20"/>
  <c r="G41" i="20" s="1"/>
  <c r="F42" i="20"/>
  <c r="G42" i="20" s="1"/>
  <c r="F43" i="20"/>
  <c r="G43" i="20" s="1"/>
  <c r="F44" i="20"/>
  <c r="G44" i="20" s="1"/>
  <c r="F50" i="20"/>
  <c r="G50" i="20" s="1"/>
  <c r="F52" i="20"/>
  <c r="G52" i="20" s="1"/>
  <c r="F53" i="20"/>
  <c r="G53" i="20" s="1"/>
  <c r="F54" i="20"/>
  <c r="G54" i="20" s="1"/>
  <c r="F55" i="20"/>
  <c r="G55" i="20" s="1"/>
  <c r="F56" i="20"/>
  <c r="G56" i="20" s="1"/>
  <c r="F57" i="20"/>
  <c r="G57" i="20" s="1"/>
  <c r="F59" i="20"/>
  <c r="G59" i="20" s="1"/>
  <c r="F61" i="20"/>
  <c r="G61" i="20" s="1"/>
  <c r="F63" i="20"/>
  <c r="G63" i="20" s="1"/>
  <c r="F64" i="20"/>
  <c r="G64" i="20" s="1"/>
  <c r="F65" i="20"/>
  <c r="G65" i="20" s="1"/>
  <c r="F67" i="20"/>
  <c r="G67" i="20" s="1"/>
  <c r="F71" i="33"/>
  <c r="G71" i="33" s="1"/>
  <c r="F73" i="33"/>
  <c r="G73" i="33"/>
  <c r="F78" i="33"/>
  <c r="G78" i="33" s="1"/>
  <c r="F79" i="33"/>
  <c r="G79" i="33"/>
  <c r="F80" i="33"/>
  <c r="G80" i="33" s="1"/>
  <c r="F82" i="33"/>
  <c r="G82" i="33"/>
  <c r="F83" i="33"/>
  <c r="G83" i="33" s="1"/>
  <c r="F84" i="33"/>
  <c r="G84" i="33"/>
  <c r="F85" i="33"/>
  <c r="G85" i="33" s="1"/>
  <c r="F86" i="33"/>
  <c r="G86" i="33"/>
  <c r="F87" i="33"/>
  <c r="G87" i="33" s="1"/>
  <c r="F4" i="33"/>
  <c r="G4" i="33" s="1"/>
  <c r="F6" i="33"/>
  <c r="G6" i="33" s="1"/>
  <c r="F7" i="33"/>
  <c r="G7" i="33"/>
  <c r="F8" i="33"/>
  <c r="G8" i="33" s="1"/>
  <c r="F9" i="33"/>
  <c r="G9" i="33"/>
  <c r="F10" i="33"/>
  <c r="G10" i="33" s="1"/>
  <c r="F11" i="33"/>
  <c r="G11" i="33"/>
  <c r="F12" i="33"/>
  <c r="G12" i="33" s="1"/>
  <c r="F14" i="33"/>
  <c r="G14" i="33"/>
  <c r="F15" i="33"/>
  <c r="G15" i="33" s="1"/>
  <c r="F16" i="33"/>
  <c r="G16" i="33"/>
  <c r="F17" i="33"/>
  <c r="G17" i="33" s="1"/>
  <c r="F19" i="33"/>
  <c r="G19" i="33" s="1"/>
  <c r="C18" i="33" s="1"/>
  <c r="C101" i="1" s="1"/>
  <c r="HO6" i="38" s="1"/>
  <c r="F20" i="33"/>
  <c r="G20" i="33" s="1"/>
  <c r="F21" i="33"/>
  <c r="G21" i="33"/>
  <c r="F22" i="33"/>
  <c r="G22" i="33" s="1"/>
  <c r="F23" i="33"/>
  <c r="G23" i="33"/>
  <c r="F24" i="33"/>
  <c r="G24" i="33" s="1"/>
  <c r="F25" i="33"/>
  <c r="G25" i="33"/>
  <c r="F27" i="33"/>
  <c r="G27" i="33" s="1"/>
  <c r="F28" i="33"/>
  <c r="G28" i="33"/>
  <c r="F29" i="33"/>
  <c r="G29" i="33" s="1"/>
  <c r="F32" i="33"/>
  <c r="G32" i="33" s="1"/>
  <c r="C30" i="33" s="1"/>
  <c r="C102" i="1" s="1"/>
  <c r="HP6" i="38" s="1"/>
  <c r="F33" i="33"/>
  <c r="G33" i="33" s="1"/>
  <c r="F34" i="33"/>
  <c r="G34" i="33"/>
  <c r="F35" i="33"/>
  <c r="G35" i="33" s="1"/>
  <c r="F37" i="33"/>
  <c r="G37" i="33"/>
  <c r="C36" i="33" s="1"/>
  <c r="C103" i="1" s="1"/>
  <c r="HQ6" i="38" s="1"/>
  <c r="F38" i="33"/>
  <c r="G38" i="33" s="1"/>
  <c r="F40" i="33"/>
  <c r="G40" i="33"/>
  <c r="F41" i="33"/>
  <c r="G41" i="33" s="1"/>
  <c r="F42" i="33"/>
  <c r="G42" i="33"/>
  <c r="F43" i="33"/>
  <c r="G43" i="33" s="1"/>
  <c r="F44" i="33"/>
  <c r="G44" i="33"/>
  <c r="F45" i="33"/>
  <c r="G45" i="33" s="1"/>
  <c r="F46" i="33"/>
  <c r="G46" i="33"/>
  <c r="F47" i="33"/>
  <c r="G47" i="33" s="1"/>
  <c r="F48" i="33"/>
  <c r="G48" i="33"/>
  <c r="F53" i="33"/>
  <c r="G53" i="33" s="1"/>
  <c r="F54" i="33"/>
  <c r="G54" i="33"/>
  <c r="F55" i="33"/>
  <c r="G55" i="33" s="1"/>
  <c r="F56" i="33"/>
  <c r="G56" i="33"/>
  <c r="F57" i="33"/>
  <c r="G57" i="33" s="1"/>
  <c r="F58" i="33"/>
  <c r="G58" i="33"/>
  <c r="F59" i="33"/>
  <c r="G59" i="33" s="1"/>
  <c r="F60" i="33"/>
  <c r="G60" i="33"/>
  <c r="F61" i="33"/>
  <c r="G61" i="33" s="1"/>
  <c r="F63" i="33"/>
  <c r="G63" i="33"/>
  <c r="F64" i="33"/>
  <c r="G64" i="33" s="1"/>
  <c r="F65" i="33"/>
  <c r="G65" i="33"/>
  <c r="F155" i="18"/>
  <c r="G155" i="18" s="1"/>
  <c r="C152" i="18" s="1"/>
  <c r="C115" i="1" s="1"/>
  <c r="IA6" i="38" s="1"/>
  <c r="F156" i="18"/>
  <c r="G156" i="18" s="1"/>
  <c r="F157" i="18"/>
  <c r="G157" i="18" s="1"/>
  <c r="F160" i="18"/>
  <c r="G160" i="18" s="1"/>
  <c r="F161" i="18"/>
  <c r="G161" i="18" s="1"/>
  <c r="F162" i="18"/>
  <c r="G162" i="18" s="1"/>
  <c r="F4" i="18"/>
  <c r="G4" i="18" s="1"/>
  <c r="C3" i="18" s="1"/>
  <c r="C108" i="1" s="1"/>
  <c r="HT6" i="38" s="1"/>
  <c r="F7" i="18"/>
  <c r="G7" i="18" s="1"/>
  <c r="F10" i="18"/>
  <c r="G10" i="18" s="1"/>
  <c r="F11" i="18"/>
  <c r="G11" i="18" s="1"/>
  <c r="F12" i="18"/>
  <c r="G12" i="18" s="1"/>
  <c r="F13" i="18"/>
  <c r="G13" i="18" s="1"/>
  <c r="F14" i="18"/>
  <c r="G14" i="18" s="1"/>
  <c r="F142" i="18"/>
  <c r="G142" i="18" s="1"/>
  <c r="C141" i="18" s="1"/>
  <c r="F143" i="18"/>
  <c r="G143" i="18" s="1"/>
  <c r="F144" i="18"/>
  <c r="G144" i="18" s="1"/>
  <c r="F145" i="18"/>
  <c r="G145" i="18" s="1"/>
  <c r="F147" i="18"/>
  <c r="G147" i="18" s="1"/>
  <c r="F148" i="18"/>
  <c r="G148" i="18" s="1"/>
  <c r="F149" i="18"/>
  <c r="G149" i="18" s="1"/>
  <c r="F150" i="18"/>
  <c r="G150" i="18" s="1"/>
  <c r="F55" i="36"/>
  <c r="G55" i="36" s="1"/>
  <c r="C54" i="36" s="1"/>
  <c r="C128" i="1" s="1"/>
  <c r="IJ6" i="38" s="1"/>
  <c r="F9" i="36"/>
  <c r="G9" i="36" s="1"/>
  <c r="F10" i="36"/>
  <c r="G10" i="36" s="1"/>
  <c r="F11" i="36"/>
  <c r="G11" i="36"/>
  <c r="F12" i="36"/>
  <c r="G12" i="36" s="1"/>
  <c r="F13" i="36"/>
  <c r="G13" i="36" s="1"/>
  <c r="F14" i="36"/>
  <c r="G14" i="36" s="1"/>
  <c r="F15" i="36"/>
  <c r="G15" i="36" s="1"/>
  <c r="F16" i="36"/>
  <c r="G16" i="36" s="1"/>
  <c r="F21" i="36"/>
  <c r="G21" i="36" s="1"/>
  <c r="C19" i="36" s="1"/>
  <c r="C126" i="1" s="1"/>
  <c r="IH6" i="38" s="1"/>
  <c r="F22" i="36"/>
  <c r="G22" i="36" s="1"/>
  <c r="F23" i="36"/>
  <c r="G23" i="36"/>
  <c r="F24" i="36"/>
  <c r="G24" i="36" s="1"/>
  <c r="F25" i="36"/>
  <c r="G25" i="36" s="1"/>
  <c r="F26" i="36"/>
  <c r="G26" i="36"/>
  <c r="F27" i="36"/>
  <c r="G27" i="36" s="1"/>
  <c r="F28" i="36"/>
  <c r="G28" i="36" s="1"/>
  <c r="F4" i="36"/>
  <c r="G4" i="36" s="1"/>
  <c r="C3" i="36" s="1"/>
  <c r="C125" i="1" s="1"/>
  <c r="IG6" i="38" s="1"/>
  <c r="F5" i="36"/>
  <c r="G5" i="36" s="1"/>
  <c r="F6" i="36"/>
  <c r="G6" i="36" s="1"/>
  <c r="F7" i="36"/>
  <c r="G7" i="36" s="1"/>
  <c r="F29" i="36"/>
  <c r="G29" i="36" s="1"/>
  <c r="F30" i="36"/>
  <c r="G30" i="36"/>
  <c r="F31" i="36"/>
  <c r="G31" i="36" s="1"/>
  <c r="F32" i="36"/>
  <c r="G32" i="36" s="1"/>
  <c r="F33" i="36"/>
  <c r="G33" i="36" s="1"/>
  <c r="F34" i="36"/>
  <c r="G34" i="36" s="1"/>
  <c r="F35" i="36"/>
  <c r="G35" i="36" s="1"/>
  <c r="F36" i="36"/>
  <c r="G36" i="36" s="1"/>
  <c r="F39" i="36"/>
  <c r="G39" i="36" s="1"/>
  <c r="F40" i="36"/>
  <c r="G40" i="36"/>
  <c r="F42" i="36"/>
  <c r="G42" i="36" s="1"/>
  <c r="F43" i="36"/>
  <c r="G43" i="36" s="1"/>
  <c r="F44" i="36"/>
  <c r="G44" i="36" s="1"/>
  <c r="F45" i="36"/>
  <c r="G45" i="36" s="1"/>
  <c r="F46" i="36"/>
  <c r="G46" i="36" s="1"/>
  <c r="F47" i="36"/>
  <c r="G47" i="36" s="1"/>
  <c r="F48" i="36"/>
  <c r="G48" i="36" s="1"/>
  <c r="F49" i="36"/>
  <c r="G49" i="36"/>
  <c r="F50" i="36"/>
  <c r="G50" i="36" s="1"/>
  <c r="F51" i="36"/>
  <c r="G51" i="36" s="1"/>
  <c r="F52" i="36"/>
  <c r="G52" i="36" s="1"/>
  <c r="F56" i="36"/>
  <c r="G56" i="36" s="1"/>
  <c r="F58" i="36"/>
  <c r="G58" i="36" s="1"/>
  <c r="F60" i="36"/>
  <c r="G60" i="36" s="1"/>
  <c r="F61" i="36"/>
  <c r="G61" i="36" s="1"/>
  <c r="F62" i="36"/>
  <c r="G62" i="36"/>
  <c r="F63" i="36"/>
  <c r="G63" i="36" s="1"/>
  <c r="F64" i="36"/>
  <c r="G64" i="36" s="1"/>
  <c r="F66" i="36"/>
  <c r="G66" i="36" s="1"/>
  <c r="C65" i="36" s="1"/>
  <c r="C129" i="1" s="1"/>
  <c r="IK6" i="38" s="1"/>
  <c r="F67" i="36"/>
  <c r="G67" i="36" s="1"/>
  <c r="F69" i="36"/>
  <c r="G69" i="36" s="1"/>
  <c r="F70" i="36"/>
  <c r="G70" i="36" s="1"/>
  <c r="F71" i="36"/>
  <c r="G71" i="36" s="1"/>
  <c r="F72" i="36"/>
  <c r="G72" i="36"/>
  <c r="F73" i="36"/>
  <c r="G73" i="36" s="1"/>
  <c r="F74" i="36"/>
  <c r="G74" i="36" s="1"/>
  <c r="F75" i="36"/>
  <c r="G75" i="36" s="1"/>
  <c r="F18" i="5"/>
  <c r="G18" i="5" s="1"/>
  <c r="C16" i="5" s="1"/>
  <c r="C133" i="1" s="1"/>
  <c r="IM6" i="38" s="1"/>
  <c r="F7" i="5"/>
  <c r="G7" i="5" s="1"/>
  <c r="F26" i="5"/>
  <c r="G26" i="5" s="1"/>
  <c r="F19" i="5"/>
  <c r="G19" i="5" s="1"/>
  <c r="F20" i="5"/>
  <c r="G20" i="5" s="1"/>
  <c r="F21" i="5"/>
  <c r="G21" i="5" s="1"/>
  <c r="F22" i="5"/>
  <c r="G22" i="5" s="1"/>
  <c r="F23" i="5"/>
  <c r="G23" i="5"/>
  <c r="F8" i="5"/>
  <c r="G8" i="5" s="1"/>
  <c r="F9" i="5"/>
  <c r="G9" i="5" s="1"/>
  <c r="F10" i="5"/>
  <c r="G10" i="5" s="1"/>
  <c r="F12" i="5"/>
  <c r="G12" i="5" s="1"/>
  <c r="F27" i="5"/>
  <c r="G27" i="5" s="1"/>
  <c r="F33" i="5"/>
  <c r="G33" i="5" s="1"/>
  <c r="F35" i="5"/>
  <c r="G35" i="5" s="1"/>
  <c r="F37" i="5"/>
  <c r="G37" i="5" s="1"/>
  <c r="F38" i="5"/>
  <c r="G38" i="5" s="1"/>
  <c r="F39" i="5"/>
  <c r="G39" i="5" s="1"/>
  <c r="F43" i="5"/>
  <c r="G43" i="5" s="1"/>
  <c r="F44" i="5"/>
  <c r="G44" i="5" s="1"/>
  <c r="F47" i="5"/>
  <c r="G47" i="5" s="1"/>
  <c r="F48" i="5"/>
  <c r="G48" i="5" s="1"/>
  <c r="F49" i="5"/>
  <c r="G49" i="5" s="1"/>
  <c r="F50" i="5"/>
  <c r="G50" i="5" s="1"/>
  <c r="F52" i="5"/>
  <c r="G52" i="5" s="1"/>
  <c r="F54" i="5"/>
  <c r="G54" i="5" s="1"/>
  <c r="C41" i="5" s="1"/>
  <c r="C135" i="1" s="1"/>
  <c r="IO6" i="38" s="1"/>
  <c r="F55" i="5"/>
  <c r="G55" i="5" s="1"/>
  <c r="F146" i="8"/>
  <c r="G146" i="8" s="1"/>
  <c r="F147" i="8"/>
  <c r="G147" i="8" s="1"/>
  <c r="F148" i="8"/>
  <c r="G148" i="8" s="1"/>
  <c r="F149" i="8"/>
  <c r="G149" i="8" s="1"/>
  <c r="F150" i="8"/>
  <c r="G150" i="8" s="1"/>
  <c r="F74" i="8"/>
  <c r="G74" i="8" s="1"/>
  <c r="C72" i="8" s="1"/>
  <c r="E192" i="1" s="1"/>
  <c r="DH6" i="38" s="1"/>
  <c r="F82" i="8"/>
  <c r="G82" i="8" s="1"/>
  <c r="F208" i="8"/>
  <c r="G208" i="8" s="1"/>
  <c r="C205" i="8" s="1"/>
  <c r="C150" i="1" s="1"/>
  <c r="JB6" i="38" s="1"/>
  <c r="F236" i="8"/>
  <c r="G236" i="8" s="1"/>
  <c r="F13" i="8"/>
  <c r="G13" i="8" s="1"/>
  <c r="F14" i="8"/>
  <c r="G14" i="8" s="1"/>
  <c r="F15" i="8"/>
  <c r="G15" i="8" s="1"/>
  <c r="F16" i="8"/>
  <c r="G16" i="8" s="1"/>
  <c r="F17" i="8"/>
  <c r="G17" i="8" s="1"/>
  <c r="F18" i="8"/>
  <c r="F22" i="8"/>
  <c r="G22" i="8" s="1"/>
  <c r="F23" i="8"/>
  <c r="G23" i="8" s="1"/>
  <c r="F24" i="8"/>
  <c r="G24" i="8" s="1"/>
  <c r="F25" i="8"/>
  <c r="G25" i="8" s="1"/>
  <c r="F26" i="8"/>
  <c r="G26" i="8" s="1"/>
  <c r="F27" i="8"/>
  <c r="G27" i="8" s="1"/>
  <c r="F29" i="8"/>
  <c r="G29" i="8"/>
  <c r="F36" i="8"/>
  <c r="G36" i="8" s="1"/>
  <c r="F37" i="8"/>
  <c r="G37" i="8" s="1"/>
  <c r="F38" i="8"/>
  <c r="G38" i="8" s="1"/>
  <c r="F39" i="8"/>
  <c r="G39" i="8" s="1"/>
  <c r="F40" i="8"/>
  <c r="G40" i="8" s="1"/>
  <c r="F45" i="8"/>
  <c r="G45" i="8" s="1"/>
  <c r="F46" i="8"/>
  <c r="G46" i="8" s="1"/>
  <c r="F47" i="8"/>
  <c r="G47" i="8"/>
  <c r="F48" i="8"/>
  <c r="G48" i="8" s="1"/>
  <c r="F52" i="8"/>
  <c r="G52" i="8"/>
  <c r="F53" i="8"/>
  <c r="G53" i="8" s="1"/>
  <c r="F54" i="8"/>
  <c r="G54" i="8" s="1"/>
  <c r="F55" i="8"/>
  <c r="G55" i="8" s="1"/>
  <c r="F60" i="8"/>
  <c r="G60" i="8" s="1"/>
  <c r="F61" i="8"/>
  <c r="G61" i="8" s="1"/>
  <c r="F62" i="8"/>
  <c r="G62" i="8"/>
  <c r="F63" i="8"/>
  <c r="G63" i="8" s="1"/>
  <c r="F64" i="8"/>
  <c r="G64" i="8" s="1"/>
  <c r="F67" i="8"/>
  <c r="G67" i="8" s="1"/>
  <c r="F68" i="8"/>
  <c r="G68" i="8" s="1"/>
  <c r="F69" i="8"/>
  <c r="G69" i="8" s="1"/>
  <c r="F70" i="8"/>
  <c r="G70" i="8" s="1"/>
  <c r="F71" i="8"/>
  <c r="G71" i="8" s="1"/>
  <c r="F75" i="8"/>
  <c r="G75" i="8"/>
  <c r="F76" i="8"/>
  <c r="G76" i="8" s="1"/>
  <c r="F77" i="8"/>
  <c r="G77" i="8"/>
  <c r="F78" i="8"/>
  <c r="G78" i="8" s="1"/>
  <c r="F79" i="8"/>
  <c r="G79" i="8" s="1"/>
  <c r="F83" i="8"/>
  <c r="G83" i="8" s="1"/>
  <c r="F84" i="8"/>
  <c r="G84" i="8" s="1"/>
  <c r="F85" i="8"/>
  <c r="G85" i="8" s="1"/>
  <c r="F86" i="8"/>
  <c r="G86" i="8"/>
  <c r="F91" i="8"/>
  <c r="G91" i="8" s="1"/>
  <c r="F92" i="8"/>
  <c r="G92" i="8" s="1"/>
  <c r="F93" i="8"/>
  <c r="G93" i="8" s="1"/>
  <c r="F94" i="8"/>
  <c r="G94" i="8" s="1"/>
  <c r="F98" i="8"/>
  <c r="G98" i="8" s="1"/>
  <c r="F99" i="8"/>
  <c r="G99" i="8" s="1"/>
  <c r="F100" i="8"/>
  <c r="G100" i="8" s="1"/>
  <c r="F101" i="8"/>
  <c r="G101" i="8" s="1"/>
  <c r="C95" i="8" s="1"/>
  <c r="E196" i="1" s="1"/>
  <c r="DL6" i="38" s="1"/>
  <c r="F105" i="8"/>
  <c r="G105" i="8" s="1"/>
  <c r="F106" i="8"/>
  <c r="G106" i="8"/>
  <c r="F107" i="8"/>
  <c r="G107" i="8" s="1"/>
  <c r="F108" i="8"/>
  <c r="G108" i="8" s="1"/>
  <c r="F112" i="8"/>
  <c r="G112" i="8" s="1"/>
  <c r="F113" i="8"/>
  <c r="G113" i="8" s="1"/>
  <c r="F114" i="8"/>
  <c r="G114" i="8" s="1"/>
  <c r="F115" i="8"/>
  <c r="G115" i="8"/>
  <c r="F119" i="8"/>
  <c r="G119" i="8" s="1"/>
  <c r="F120" i="8"/>
  <c r="G120" i="8" s="1"/>
  <c r="F121" i="8"/>
  <c r="G121" i="8" s="1"/>
  <c r="F122" i="8"/>
  <c r="G122" i="8" s="1"/>
  <c r="F126" i="8"/>
  <c r="G126" i="8" s="1"/>
  <c r="F127" i="8"/>
  <c r="G127" i="8" s="1"/>
  <c r="F128" i="8"/>
  <c r="G128" i="8" s="1"/>
  <c r="F129" i="8"/>
  <c r="G129" i="8"/>
  <c r="F133" i="8"/>
  <c r="G133" i="8" s="1"/>
  <c r="F134" i="8"/>
  <c r="G134" i="8"/>
  <c r="F135" i="8"/>
  <c r="G135" i="8" s="1"/>
  <c r="F136" i="8"/>
  <c r="G136" i="8" s="1"/>
  <c r="F140" i="8"/>
  <c r="G140" i="8" s="1"/>
  <c r="F141" i="8"/>
  <c r="G141" i="8" s="1"/>
  <c r="F142" i="8"/>
  <c r="G142" i="8" s="1"/>
  <c r="F143" i="8"/>
  <c r="G143" i="8"/>
  <c r="F156" i="8"/>
  <c r="G156" i="8" s="1"/>
  <c r="F157" i="8"/>
  <c r="G157" i="8" s="1"/>
  <c r="F158" i="8"/>
  <c r="G158" i="8" s="1"/>
  <c r="F159" i="8"/>
  <c r="G159" i="8" s="1"/>
  <c r="F163" i="8"/>
  <c r="G163" i="8" s="1"/>
  <c r="F164" i="8"/>
  <c r="G164" i="8" s="1"/>
  <c r="F165" i="8"/>
  <c r="G165" i="8" s="1"/>
  <c r="F166" i="8"/>
  <c r="G166" i="8"/>
  <c r="F172" i="8"/>
  <c r="G172" i="8" s="1"/>
  <c r="F173" i="8"/>
  <c r="G173" i="8"/>
  <c r="F174" i="8"/>
  <c r="G174" i="8" s="1"/>
  <c r="F175" i="8"/>
  <c r="G175" i="8" s="1"/>
  <c r="F179" i="8"/>
  <c r="G179" i="8" s="1"/>
  <c r="F180" i="8"/>
  <c r="G180" i="8" s="1"/>
  <c r="F181" i="8"/>
  <c r="G181" i="8" s="1"/>
  <c r="F182" i="8"/>
  <c r="G182" i="8"/>
  <c r="F186" i="8"/>
  <c r="G186" i="8" s="1"/>
  <c r="F187" i="8"/>
  <c r="G187" i="8" s="1"/>
  <c r="F188" i="8"/>
  <c r="G188" i="8" s="1"/>
  <c r="F189" i="8"/>
  <c r="G189" i="8" s="1"/>
  <c r="F193" i="8"/>
  <c r="G193" i="8" s="1"/>
  <c r="F194" i="8"/>
  <c r="G194" i="8" s="1"/>
  <c r="F195" i="8"/>
  <c r="G195" i="8" s="1"/>
  <c r="F196" i="8"/>
  <c r="G196" i="8"/>
  <c r="F200" i="8"/>
  <c r="G200" i="8" s="1"/>
  <c r="F201" i="8"/>
  <c r="G201" i="8"/>
  <c r="F202" i="8"/>
  <c r="G202" i="8" s="1"/>
  <c r="F203" i="8"/>
  <c r="G203" i="8" s="1"/>
  <c r="F209" i="8"/>
  <c r="G209" i="8" s="1"/>
  <c r="F210" i="8"/>
  <c r="G210" i="8" s="1"/>
  <c r="F211" i="8"/>
  <c r="G211" i="8" s="1"/>
  <c r="F212" i="8"/>
  <c r="G212" i="8"/>
  <c r="F213" i="8"/>
  <c r="G213" i="8" s="1"/>
  <c r="F214" i="8"/>
  <c r="G214" i="8" s="1"/>
  <c r="F215" i="8"/>
  <c r="G215" i="8" s="1"/>
  <c r="F216" i="8"/>
  <c r="G216" i="8" s="1"/>
  <c r="F217" i="8"/>
  <c r="G217" i="8" s="1"/>
  <c r="F218" i="8"/>
  <c r="G218" i="8" s="1"/>
  <c r="F223" i="8"/>
  <c r="G223" i="8" s="1"/>
  <c r="F224" i="8"/>
  <c r="G224" i="8"/>
  <c r="F225" i="8"/>
  <c r="G225" i="8" s="1"/>
  <c r="F226" i="8"/>
  <c r="G226" i="8"/>
  <c r="F227" i="8"/>
  <c r="G227" i="8" s="1"/>
  <c r="F228" i="8"/>
  <c r="G228" i="8" s="1"/>
  <c r="F229" i="8"/>
  <c r="G229" i="8" s="1"/>
  <c r="F230" i="8"/>
  <c r="G230" i="8" s="1"/>
  <c r="F232" i="8"/>
  <c r="G232" i="8" s="1"/>
  <c r="F237" i="8"/>
  <c r="G237" i="8"/>
  <c r="F238" i="8"/>
  <c r="G238" i="8" s="1"/>
  <c r="F239" i="8"/>
  <c r="G239" i="8" s="1"/>
  <c r="F240" i="8"/>
  <c r="G240" i="8" s="1"/>
  <c r="F241" i="8"/>
  <c r="G241" i="8" s="1"/>
  <c r="F242" i="8"/>
  <c r="G242" i="8" s="1"/>
  <c r="F243" i="8"/>
  <c r="G243" i="8" s="1"/>
  <c r="F244" i="8"/>
  <c r="G244" i="8" s="1"/>
  <c r="F84" i="24"/>
  <c r="G84" i="24" s="1"/>
  <c r="F85" i="24"/>
  <c r="G85" i="24" s="1"/>
  <c r="F4" i="24"/>
  <c r="G4" i="24" s="1"/>
  <c r="F5" i="24"/>
  <c r="G5" i="24" s="1"/>
  <c r="F6" i="24"/>
  <c r="G6" i="24" s="1"/>
  <c r="F7" i="24"/>
  <c r="G7" i="24" s="1"/>
  <c r="F8" i="24"/>
  <c r="G8" i="24" s="1"/>
  <c r="F9" i="24"/>
  <c r="G9" i="24"/>
  <c r="F10" i="24"/>
  <c r="G10" i="24" s="1"/>
  <c r="F11" i="24"/>
  <c r="G11" i="24" s="1"/>
  <c r="F12" i="24"/>
  <c r="G12" i="24" s="1"/>
  <c r="F13" i="24"/>
  <c r="G13" i="24" s="1"/>
  <c r="F16" i="24"/>
  <c r="G16" i="24" s="1"/>
  <c r="C15" i="24" s="1"/>
  <c r="C156" i="1" s="1"/>
  <c r="JF6" i="38" s="1"/>
  <c r="F17" i="24"/>
  <c r="G17" i="24"/>
  <c r="F18" i="24"/>
  <c r="G18" i="24" s="1"/>
  <c r="F19" i="24"/>
  <c r="G19" i="24" s="1"/>
  <c r="F20" i="24"/>
  <c r="G20" i="24" s="1"/>
  <c r="F21" i="24"/>
  <c r="G21" i="24"/>
  <c r="F22" i="24"/>
  <c r="G22" i="24" s="1"/>
  <c r="F23" i="24"/>
  <c r="G23" i="24" s="1"/>
  <c r="F24" i="24"/>
  <c r="G24" i="24" s="1"/>
  <c r="F27" i="24"/>
  <c r="G27" i="24" s="1"/>
  <c r="F28" i="24"/>
  <c r="G28" i="24" s="1"/>
  <c r="F30" i="24"/>
  <c r="G30" i="24" s="1"/>
  <c r="F31" i="24"/>
  <c r="G31" i="24" s="1"/>
  <c r="F32" i="24"/>
  <c r="G32" i="24" s="1"/>
  <c r="F34" i="24"/>
  <c r="G34" i="24" s="1"/>
  <c r="F35" i="24"/>
  <c r="G35" i="24" s="1"/>
  <c r="F36" i="24"/>
  <c r="G36" i="24" s="1"/>
  <c r="F37" i="24"/>
  <c r="G37" i="24" s="1"/>
  <c r="F38" i="24"/>
  <c r="G38" i="24" s="1"/>
  <c r="F40" i="24"/>
  <c r="G40" i="24" s="1"/>
  <c r="F41" i="24"/>
  <c r="G41" i="24" s="1"/>
  <c r="F43" i="24"/>
  <c r="G43" i="24" s="1"/>
  <c r="F44" i="24"/>
  <c r="G44" i="24" s="1"/>
  <c r="F45" i="24"/>
  <c r="G45" i="24" s="1"/>
  <c r="F46" i="24"/>
  <c r="G46" i="24" s="1"/>
  <c r="F48" i="24"/>
  <c r="G48" i="24" s="1"/>
  <c r="C47" i="24" s="1"/>
  <c r="C158" i="1" s="1"/>
  <c r="JH6" i="38" s="1"/>
  <c r="F49" i="24"/>
  <c r="G49" i="24" s="1"/>
  <c r="F50" i="24"/>
  <c r="G50" i="24" s="1"/>
  <c r="F52" i="24"/>
  <c r="G52" i="24" s="1"/>
  <c r="F53" i="24"/>
  <c r="G53" i="24"/>
  <c r="F54" i="24"/>
  <c r="G54" i="24" s="1"/>
  <c r="F55" i="24"/>
  <c r="G55" i="24" s="1"/>
  <c r="F56" i="24"/>
  <c r="G56" i="24" s="1"/>
  <c r="F57" i="24"/>
  <c r="G57" i="24" s="1"/>
  <c r="F59" i="24"/>
  <c r="G59" i="24" s="1"/>
  <c r="F60" i="24"/>
  <c r="G60" i="24" s="1"/>
  <c r="F61" i="24"/>
  <c r="G61" i="24" s="1"/>
  <c r="F65" i="24"/>
  <c r="G65" i="24" s="1"/>
  <c r="F67" i="24"/>
  <c r="G67" i="24" s="1"/>
  <c r="F70" i="24"/>
  <c r="G70" i="24" s="1"/>
  <c r="F71" i="24"/>
  <c r="G71" i="24" s="1"/>
  <c r="F74" i="24"/>
  <c r="G74" i="24" s="1"/>
  <c r="F75" i="24"/>
  <c r="G75" i="24" s="1"/>
  <c r="F76" i="24"/>
  <c r="G76" i="24" s="1"/>
  <c r="F77" i="24"/>
  <c r="G77" i="24" s="1"/>
  <c r="F78" i="24"/>
  <c r="G78" i="24"/>
  <c r="F79" i="24"/>
  <c r="G79" i="24" s="1"/>
  <c r="F86" i="24"/>
  <c r="G86" i="24" s="1"/>
  <c r="F87" i="24"/>
  <c r="G87" i="24" s="1"/>
  <c r="F91" i="24"/>
  <c r="G91" i="24" s="1"/>
  <c r="F93" i="24"/>
  <c r="G93" i="24" s="1"/>
  <c r="F94" i="24"/>
  <c r="G94" i="24" s="1"/>
  <c r="F95" i="24"/>
  <c r="G95" i="24" s="1"/>
  <c r="F5" i="9"/>
  <c r="G5" i="9" s="1"/>
  <c r="F6" i="9"/>
  <c r="G6" i="9" s="1"/>
  <c r="F7" i="9"/>
  <c r="G7" i="9" s="1"/>
  <c r="F8" i="9"/>
  <c r="G8" i="9" s="1"/>
  <c r="F9" i="9"/>
  <c r="G9" i="9" s="1"/>
  <c r="F10" i="9"/>
  <c r="G10" i="9" s="1"/>
  <c r="F11" i="9"/>
  <c r="G11" i="9" s="1"/>
  <c r="F12" i="9"/>
  <c r="G12" i="9" s="1"/>
  <c r="F13" i="9"/>
  <c r="G13" i="9" s="1"/>
  <c r="F16" i="9"/>
  <c r="G16" i="9" s="1"/>
  <c r="F20" i="9"/>
  <c r="G20" i="9" s="1"/>
  <c r="F21" i="9"/>
  <c r="G21" i="9" s="1"/>
  <c r="F22" i="9"/>
  <c r="G22" i="9" s="1"/>
  <c r="F23" i="9"/>
  <c r="G23" i="9" s="1"/>
  <c r="F24" i="9"/>
  <c r="G24" i="9" s="1"/>
  <c r="F25" i="9"/>
  <c r="G25" i="9" s="1"/>
  <c r="F30" i="9"/>
  <c r="G30" i="9" s="1"/>
  <c r="F32" i="9"/>
  <c r="G32" i="9" s="1"/>
  <c r="F33" i="9"/>
  <c r="G33" i="9" s="1"/>
  <c r="F34" i="9"/>
  <c r="G34" i="9" s="1"/>
  <c r="F35" i="9"/>
  <c r="G35" i="9" s="1"/>
  <c r="F36" i="9"/>
  <c r="G36" i="9" s="1"/>
  <c r="F37" i="9"/>
  <c r="G37" i="9" s="1"/>
  <c r="F41" i="9"/>
  <c r="G41" i="9" s="1"/>
  <c r="F42" i="9"/>
  <c r="G42" i="9" s="1"/>
  <c r="F43" i="9"/>
  <c r="G43" i="9" s="1"/>
  <c r="F44" i="9"/>
  <c r="G44" i="9" s="1"/>
  <c r="F45" i="9"/>
  <c r="G45" i="9" s="1"/>
  <c r="C36" i="20"/>
  <c r="C96" i="1" s="1"/>
  <c r="HL6" i="38" s="1"/>
  <c r="C34" i="35"/>
  <c r="C177" i="1" s="1"/>
  <c r="JW6" i="38" s="1"/>
  <c r="C150" i="25"/>
  <c r="C142" i="25"/>
  <c r="C171" i="1" s="1"/>
  <c r="JS6" i="38" s="1"/>
  <c r="C113" i="25"/>
  <c r="C169" i="1" s="1"/>
  <c r="JQ6" i="38" s="1"/>
  <c r="C98" i="25"/>
  <c r="C168" i="1" s="1"/>
  <c r="JP6" i="38" s="1"/>
  <c r="C55" i="25"/>
  <c r="C166" i="1" s="1"/>
  <c r="JN6" i="38" s="1"/>
  <c r="C41" i="25"/>
  <c r="C82" i="24"/>
  <c r="C160" i="1" s="1"/>
  <c r="JJ6" i="38" s="1"/>
  <c r="C64" i="24"/>
  <c r="C26" i="24"/>
  <c r="C234" i="8"/>
  <c r="C152" i="1" s="1"/>
  <c r="JD6" i="38" s="1"/>
  <c r="C38" i="36"/>
  <c r="C127" i="1" s="1"/>
  <c r="II6" i="38" s="1"/>
  <c r="C131" i="18"/>
  <c r="C126" i="18"/>
  <c r="D207" i="1" s="1"/>
  <c r="CX6" i="38" s="1"/>
  <c r="C121" i="18"/>
  <c r="D206" i="1" s="1"/>
  <c r="CW6" i="38" s="1"/>
  <c r="C116" i="18"/>
  <c r="D205" i="1" s="1"/>
  <c r="CV6" i="38" s="1"/>
  <c r="C111" i="18"/>
  <c r="C106" i="18"/>
  <c r="C101" i="18"/>
  <c r="D202" i="1" s="1"/>
  <c r="CS6" i="38" s="1"/>
  <c r="C96" i="18"/>
  <c r="D201" i="1" s="1"/>
  <c r="CR6" i="38" s="1"/>
  <c r="C91" i="18"/>
  <c r="D200" i="1" s="1"/>
  <c r="CQ6" i="38" s="1"/>
  <c r="C86" i="18"/>
  <c r="D199" i="1" s="1"/>
  <c r="CP6" i="38" s="1"/>
  <c r="C81" i="18"/>
  <c r="D198" i="1" s="1"/>
  <c r="CO6" i="38" s="1"/>
  <c r="C76" i="18"/>
  <c r="D197" i="1" s="1"/>
  <c r="CN6" i="38" s="1"/>
  <c r="C71" i="18"/>
  <c r="C66" i="18"/>
  <c r="C61" i="18"/>
  <c r="D194" i="1" s="1"/>
  <c r="CK6" i="38" s="1"/>
  <c r="C56" i="18"/>
  <c r="D193" i="1" s="1"/>
  <c r="CJ6" i="38" s="1"/>
  <c r="C51" i="18"/>
  <c r="D192" i="1" s="1"/>
  <c r="CI6" i="38" s="1"/>
  <c r="C46" i="18"/>
  <c r="C41" i="18"/>
  <c r="D190" i="1" s="1"/>
  <c r="CG6" i="38" s="1"/>
  <c r="C21" i="18"/>
  <c r="D186" i="1" s="1"/>
  <c r="CC6" i="38" s="1"/>
  <c r="F69" i="33"/>
  <c r="C68" i="33" s="1"/>
  <c r="C105" i="1" s="1"/>
  <c r="HS6" i="38" s="1"/>
  <c r="C51" i="33"/>
  <c r="C46" i="20"/>
  <c r="C21" i="20"/>
  <c r="C95" i="1" s="1"/>
  <c r="HK6" i="38" s="1"/>
  <c r="C80" i="30"/>
  <c r="C27" i="30"/>
  <c r="C87" i="1" s="1"/>
  <c r="HE6" i="38" s="1"/>
  <c r="C13" i="30"/>
  <c r="C111" i="23"/>
  <c r="C72" i="1" s="1"/>
  <c r="GT6" i="38" s="1"/>
  <c r="C67" i="23"/>
  <c r="C68" i="1" s="1"/>
  <c r="GP6" i="38" s="1"/>
  <c r="C53" i="23"/>
  <c r="C67" i="1" s="1"/>
  <c r="GO6" i="38" s="1"/>
  <c r="C3" i="23"/>
  <c r="C64" i="1" s="1"/>
  <c r="GL6" i="38" s="1"/>
  <c r="I57" i="20"/>
  <c r="I21" i="9"/>
  <c r="I22" i="9"/>
  <c r="I23" i="9"/>
  <c r="I24" i="9"/>
  <c r="I20" i="9"/>
  <c r="D38" i="23"/>
  <c r="D25" i="23"/>
  <c r="C217" i="1" s="1"/>
  <c r="EQ6" i="38" s="1"/>
  <c r="C152" i="27"/>
  <c r="E152" i="27" s="1"/>
  <c r="C151" i="27"/>
  <c r="E151" i="27" s="1"/>
  <c r="F151" i="27" s="1"/>
  <c r="C149" i="27"/>
  <c r="C120" i="27"/>
  <c r="E120" i="27" s="1"/>
  <c r="F120" i="27" s="1"/>
  <c r="C121" i="27"/>
  <c r="C122" i="27"/>
  <c r="E122" i="27" s="1"/>
  <c r="F122" i="27" s="1"/>
  <c r="C123" i="27"/>
  <c r="E123" i="27" s="1"/>
  <c r="F123" i="27" s="1"/>
  <c r="C124" i="27"/>
  <c r="E124" i="27" s="1"/>
  <c r="F124" i="27" s="1"/>
  <c r="C125" i="27"/>
  <c r="E125" i="27" s="1"/>
  <c r="F125" i="27" s="1"/>
  <c r="C126" i="27"/>
  <c r="C127" i="27"/>
  <c r="E127" i="27" s="1"/>
  <c r="F127" i="27" s="1"/>
  <c r="C119" i="27"/>
  <c r="E119" i="27" s="1"/>
  <c r="F119" i="27" s="1"/>
  <c r="C13" i="27"/>
  <c r="E13" i="27" s="1"/>
  <c r="F13" i="27" s="1"/>
  <c r="C33" i="27"/>
  <c r="E33" i="27" s="1"/>
  <c r="F33" i="27" s="1"/>
  <c r="C32" i="27"/>
  <c r="LC6" i="38" s="1"/>
  <c r="UU6" i="38"/>
  <c r="BF6" i="38"/>
  <c r="BG6" i="38"/>
  <c r="BH6" i="38"/>
  <c r="BI6" i="38"/>
  <c r="BE6" i="38"/>
  <c r="C157" i="27"/>
  <c r="PF6" i="38" s="1"/>
  <c r="C156" i="27"/>
  <c r="PE6" i="38"/>
  <c r="C155" i="27"/>
  <c r="PD6" i="38" s="1"/>
  <c r="C154" i="27"/>
  <c r="PC6" i="38" s="1"/>
  <c r="C153" i="27"/>
  <c r="PA6" i="38"/>
  <c r="C150" i="27"/>
  <c r="OY6" i="38" s="1"/>
  <c r="C148" i="27"/>
  <c r="OW6" i="38" s="1"/>
  <c r="C147" i="27"/>
  <c r="OV6" i="38" s="1"/>
  <c r="C146" i="27"/>
  <c r="E146" i="27" s="1"/>
  <c r="F146" i="27" s="1"/>
  <c r="C145" i="27"/>
  <c r="OT6" i="38" s="1"/>
  <c r="C144" i="27"/>
  <c r="OS6" i="38" s="1"/>
  <c r="C143" i="27"/>
  <c r="OR6" i="38" s="1"/>
  <c r="C142" i="27"/>
  <c r="OQ6" i="38" s="1"/>
  <c r="C141" i="27"/>
  <c r="OP6" i="38" s="1"/>
  <c r="C140" i="27"/>
  <c r="OO6" i="38" s="1"/>
  <c r="C139" i="27"/>
  <c r="ON6" i="38" s="1"/>
  <c r="C138" i="27"/>
  <c r="OM6" i="38" s="1"/>
  <c r="C134" i="27"/>
  <c r="C128" i="27"/>
  <c r="OH6" i="38" s="1"/>
  <c r="C87" i="27"/>
  <c r="MZ6" i="38" s="1"/>
  <c r="C86" i="27"/>
  <c r="MY6" i="38"/>
  <c r="C85" i="27"/>
  <c r="MX6" i="38" s="1"/>
  <c r="C84" i="27"/>
  <c r="MW6" i="38" s="1"/>
  <c r="C83" i="27"/>
  <c r="MV6" i="38" s="1"/>
  <c r="C82" i="27"/>
  <c r="MU6" i="38" s="1"/>
  <c r="C81" i="27"/>
  <c r="MT6" i="38" s="1"/>
  <c r="C80" i="27"/>
  <c r="MS6" i="38" s="1"/>
  <c r="C79" i="27"/>
  <c r="MR6" i="38" s="1"/>
  <c r="C77" i="27"/>
  <c r="E77" i="27" s="1"/>
  <c r="F77" i="27" s="1"/>
  <c r="C76" i="27"/>
  <c r="MP6" i="38" s="1"/>
  <c r="C75" i="27"/>
  <c r="MO6" i="38" s="1"/>
  <c r="C74" i="27"/>
  <c r="MN6" i="38" s="1"/>
  <c r="C73" i="27"/>
  <c r="MM6" i="38" s="1"/>
  <c r="C72" i="27"/>
  <c r="ML6" i="38" s="1"/>
  <c r="C71" i="27"/>
  <c r="MK6" i="38" s="1"/>
  <c r="C70" i="27"/>
  <c r="MJ6" i="38" s="1"/>
  <c r="C69" i="27"/>
  <c r="MI6" i="38" s="1"/>
  <c r="C68" i="27"/>
  <c r="MH6" i="38" s="1"/>
  <c r="C67" i="27"/>
  <c r="MG6" i="38" s="1"/>
  <c r="C66" i="27"/>
  <c r="MF6" i="38" s="1"/>
  <c r="C64" i="27"/>
  <c r="ME6" i="38" s="1"/>
  <c r="C63" i="27"/>
  <c r="MD6" i="38" s="1"/>
  <c r="C62" i="27"/>
  <c r="MC6" i="38" s="1"/>
  <c r="C61" i="27"/>
  <c r="E61" i="27" s="1"/>
  <c r="F61" i="27" s="1"/>
  <c r="C60" i="27"/>
  <c r="MA6" i="38" s="1"/>
  <c r="C59" i="27"/>
  <c r="LZ6" i="38" s="1"/>
  <c r="C58" i="27"/>
  <c r="LY6" i="38" s="1"/>
  <c r="C57" i="27"/>
  <c r="LX6" i="38" s="1"/>
  <c r="C56" i="27"/>
  <c r="LW6" i="38" s="1"/>
  <c r="C54" i="27"/>
  <c r="LV6" i="38" s="1"/>
  <c r="C52" i="27"/>
  <c r="LU6" i="38" s="1"/>
  <c r="C51" i="27"/>
  <c r="LT6" i="38" s="1"/>
  <c r="C50" i="27"/>
  <c r="LS6" i="38" s="1"/>
  <c r="C49" i="27"/>
  <c r="LR6" i="38" s="1"/>
  <c r="C48" i="27"/>
  <c r="LQ6" i="38" s="1"/>
  <c r="C47" i="27"/>
  <c r="LP6" i="38" s="1"/>
  <c r="C46" i="27"/>
  <c r="LO6" i="38" s="1"/>
  <c r="C45" i="27"/>
  <c r="LN6" i="38" s="1"/>
  <c r="C44" i="27"/>
  <c r="LM6" i="38" s="1"/>
  <c r="C42" i="27"/>
  <c r="LL6" i="38" s="1"/>
  <c r="C41" i="27"/>
  <c r="LK6" i="38" s="1"/>
  <c r="C40" i="27"/>
  <c r="LJ6" i="38" s="1"/>
  <c r="C39" i="27"/>
  <c r="LI6" i="38" s="1"/>
  <c r="C38" i="27"/>
  <c r="LH6" i="38"/>
  <c r="C37" i="27"/>
  <c r="LG6" i="38" s="1"/>
  <c r="C36" i="27"/>
  <c r="LF6" i="38" s="1"/>
  <c r="C34" i="27"/>
  <c r="LE6" i="38" s="1"/>
  <c r="LD6" i="38"/>
  <c r="C35" i="27"/>
  <c r="LB6" i="38" s="1"/>
  <c r="C31" i="27"/>
  <c r="LA6" i="38" s="1"/>
  <c r="C30" i="27"/>
  <c r="KZ6" i="38" s="1"/>
  <c r="C29" i="27"/>
  <c r="KY6" i="38" s="1"/>
  <c r="C28" i="27"/>
  <c r="KX6" i="38" s="1"/>
  <c r="C27" i="27"/>
  <c r="KW6" i="38" s="1"/>
  <c r="C26" i="27"/>
  <c r="KV6" i="38" s="1"/>
  <c r="C25" i="27"/>
  <c r="KU6" i="38" s="1"/>
  <c r="C24" i="27"/>
  <c r="KT6" i="38" s="1"/>
  <c r="C23" i="27"/>
  <c r="KS6" i="38" s="1"/>
  <c r="C22" i="27"/>
  <c r="KR6" i="38" s="1"/>
  <c r="C21" i="27"/>
  <c r="KQ6" i="38" s="1"/>
  <c r="C20" i="27"/>
  <c r="KP6" i="38" s="1"/>
  <c r="C19" i="27"/>
  <c r="KO6" i="38" s="1"/>
  <c r="C18" i="27"/>
  <c r="KN6" i="38" s="1"/>
  <c r="C17" i="27"/>
  <c r="KM6" i="38" s="1"/>
  <c r="C16" i="27"/>
  <c r="KL6" i="38" s="1"/>
  <c r="C15" i="27"/>
  <c r="KK6" i="38" s="1"/>
  <c r="C14" i="27"/>
  <c r="KJ6" i="38" s="1"/>
  <c r="C12" i="27"/>
  <c r="KH6" i="38"/>
  <c r="C11" i="27"/>
  <c r="KG6" i="38" s="1"/>
  <c r="C8" i="27"/>
  <c r="KD6" i="38" s="1"/>
  <c r="C7" i="27"/>
  <c r="KC6" i="38" s="1"/>
  <c r="C5" i="27"/>
  <c r="KB6" i="38" s="1"/>
  <c r="C214" i="1"/>
  <c r="EN6" i="38" s="1"/>
  <c r="B75" i="25"/>
  <c r="F75" i="25"/>
  <c r="TT6" i="38"/>
  <c r="F20" i="32"/>
  <c r="G20" i="32" s="1"/>
  <c r="F21" i="32"/>
  <c r="G21" i="32" s="1"/>
  <c r="F22" i="32"/>
  <c r="G22" i="32" s="1"/>
  <c r="F23" i="32"/>
  <c r="G23" i="32" s="1"/>
  <c r="F24" i="32"/>
  <c r="G24" i="32" s="1"/>
  <c r="F25" i="32"/>
  <c r="G25" i="32" s="1"/>
  <c r="F26" i="32"/>
  <c r="G26" i="32" s="1"/>
  <c r="F27" i="32"/>
  <c r="G27" i="32" s="1"/>
  <c r="F67" i="32"/>
  <c r="G67" i="32" s="1"/>
  <c r="F73" i="32"/>
  <c r="G73" i="32" s="1"/>
  <c r="F75" i="32"/>
  <c r="G75" i="32"/>
  <c r="F59" i="32"/>
  <c r="G59" i="32" s="1"/>
  <c r="F60" i="32"/>
  <c r="G60" i="32" s="1"/>
  <c r="F61" i="32"/>
  <c r="G61" i="32" s="1"/>
  <c r="F62" i="32"/>
  <c r="G62" i="32" s="1"/>
  <c r="F63" i="32"/>
  <c r="G63" i="32" s="1"/>
  <c r="F44" i="32"/>
  <c r="G44" i="32" s="1"/>
  <c r="C43" i="32" s="1"/>
  <c r="C80" i="1" s="1"/>
  <c r="GZ6" i="38" s="1"/>
  <c r="F46" i="32"/>
  <c r="G46" i="32" s="1"/>
  <c r="F47" i="32"/>
  <c r="G47" i="32" s="1"/>
  <c r="F48" i="32"/>
  <c r="G48" i="32" s="1"/>
  <c r="F49" i="32"/>
  <c r="G49" i="32" s="1"/>
  <c r="F50" i="32"/>
  <c r="G50" i="32" s="1"/>
  <c r="F51" i="32"/>
  <c r="G51" i="32" s="1"/>
  <c r="F32" i="32"/>
  <c r="G32" i="32" s="1"/>
  <c r="F33" i="32"/>
  <c r="G33" i="32" s="1"/>
  <c r="F34" i="32"/>
  <c r="G34" i="32" s="1"/>
  <c r="F35" i="32"/>
  <c r="G35" i="32" s="1"/>
  <c r="F36" i="32"/>
  <c r="G36" i="32" s="1"/>
  <c r="F37" i="32"/>
  <c r="G37" i="32" s="1"/>
  <c r="F38" i="32"/>
  <c r="G38" i="32" s="1"/>
  <c r="F39" i="32"/>
  <c r="G39" i="32" s="1"/>
  <c r="F40" i="32"/>
  <c r="G40" i="32" s="1"/>
  <c r="F41" i="32"/>
  <c r="G41" i="32" s="1"/>
  <c r="C29" i="32" s="1"/>
  <c r="C79" i="1" s="1"/>
  <c r="GY6" i="38" s="1"/>
  <c r="C90" i="1"/>
  <c r="HH6" i="38" s="1"/>
  <c r="AH6" i="38"/>
  <c r="AG6" i="38"/>
  <c r="AF6" i="38"/>
  <c r="AE6" i="38"/>
  <c r="AD6" i="38"/>
  <c r="AC6" i="38"/>
  <c r="VO6" i="38"/>
  <c r="VN6" i="38"/>
  <c r="VJ6" i="38"/>
  <c r="VK6" i="38"/>
  <c r="VL6" i="38"/>
  <c r="VM6" i="38"/>
  <c r="VI6" i="38"/>
  <c r="VF6" i="38"/>
  <c r="VG6" i="38"/>
  <c r="VH6" i="38"/>
  <c r="VE6" i="38"/>
  <c r="VD6" i="38"/>
  <c r="VC6" i="38"/>
  <c r="VB6" i="38"/>
  <c r="VA6" i="38"/>
  <c r="UZ6" i="38"/>
  <c r="UY6" i="38"/>
  <c r="UX6" i="38"/>
  <c r="UW6" i="38"/>
  <c r="UV6" i="38"/>
  <c r="UT6" i="38"/>
  <c r="UM6" i="38"/>
  <c r="UN6" i="38"/>
  <c r="UO6" i="38"/>
  <c r="UP6" i="38"/>
  <c r="UQ6" i="38"/>
  <c r="UR6" i="38"/>
  <c r="US6" i="38"/>
  <c r="UL6" i="38"/>
  <c r="UK6" i="38"/>
  <c r="UI6" i="38"/>
  <c r="UJ6" i="38"/>
  <c r="UH6" i="38"/>
  <c r="UG6" i="38"/>
  <c r="UD6" i="38"/>
  <c r="UE6" i="38"/>
  <c r="UF6" i="38"/>
  <c r="UC6" i="38"/>
  <c r="UB6" i="38"/>
  <c r="UA6" i="38"/>
  <c r="TZ6" i="38"/>
  <c r="TY6" i="38"/>
  <c r="TX6" i="38"/>
  <c r="TW6" i="38"/>
  <c r="TV6" i="38"/>
  <c r="TU6" i="38"/>
  <c r="TL6" i="38"/>
  <c r="TM6" i="38"/>
  <c r="TN6" i="38"/>
  <c r="TO6" i="38"/>
  <c r="TP6" i="38"/>
  <c r="TQ6" i="38"/>
  <c r="TR6" i="38"/>
  <c r="TS6" i="38"/>
  <c r="TK6" i="38"/>
  <c r="TJ6" i="38"/>
  <c r="TI6" i="38"/>
  <c r="TH6" i="38"/>
  <c r="TG6" i="38"/>
  <c r="TF6" i="38"/>
  <c r="TE6" i="38"/>
  <c r="TD6" i="38"/>
  <c r="TC6" i="38"/>
  <c r="TB6" i="38"/>
  <c r="TA6" i="38"/>
  <c r="SZ6" i="38"/>
  <c r="SY6" i="38"/>
  <c r="SX6" i="38"/>
  <c r="SW6" i="38"/>
  <c r="SV6" i="38"/>
  <c r="SU6" i="38"/>
  <c r="ST6" i="38"/>
  <c r="SS6" i="38"/>
  <c r="SR6" i="38"/>
  <c r="SQ6" i="38"/>
  <c r="SP6" i="38"/>
  <c r="SO6" i="38"/>
  <c r="SN6" i="38"/>
  <c r="SM6" i="38"/>
  <c r="SL6" i="38"/>
  <c r="SK6" i="38"/>
  <c r="SI6" i="38"/>
  <c r="SH6" i="38"/>
  <c r="SG6" i="38"/>
  <c r="SF6" i="38"/>
  <c r="SE6" i="38"/>
  <c r="RW6" i="38"/>
  <c r="RX6" i="38"/>
  <c r="RY6" i="38"/>
  <c r="RZ6" i="38"/>
  <c r="SA6" i="38"/>
  <c r="SB6" i="38"/>
  <c r="SC6" i="38"/>
  <c r="SD6" i="38"/>
  <c r="RV6" i="38"/>
  <c r="RU6" i="38"/>
  <c r="RT6" i="38"/>
  <c r="RS6" i="38"/>
  <c r="RR6" i="38"/>
  <c r="RN6" i="38"/>
  <c r="RO6" i="38"/>
  <c r="RP6" i="38"/>
  <c r="RQ6" i="38"/>
  <c r="RM6" i="38"/>
  <c r="RC6" i="38"/>
  <c r="RD6" i="38"/>
  <c r="RE6" i="38"/>
  <c r="RF6" i="38"/>
  <c r="RG6" i="38"/>
  <c r="RH6" i="38"/>
  <c r="RI6" i="38"/>
  <c r="RJ6" i="38"/>
  <c r="RK6" i="38"/>
  <c r="RL6" i="38"/>
  <c r="RB6" i="38"/>
  <c r="QS6" i="38"/>
  <c r="QT6" i="38"/>
  <c r="QU6" i="38"/>
  <c r="QV6" i="38"/>
  <c r="QW6" i="38"/>
  <c r="QX6" i="38"/>
  <c r="QY6" i="38"/>
  <c r="QZ6" i="38"/>
  <c r="RA6" i="38"/>
  <c r="QR6" i="38"/>
  <c r="QK6" i="38"/>
  <c r="QL6" i="38"/>
  <c r="QM6" i="38"/>
  <c r="QN6" i="38"/>
  <c r="QO6" i="38"/>
  <c r="QP6" i="38"/>
  <c r="QQ6" i="38"/>
  <c r="QJ6" i="38"/>
  <c r="QC6" i="38"/>
  <c r="QD6" i="38"/>
  <c r="QE6" i="38"/>
  <c r="QF6" i="38"/>
  <c r="QG6" i="38"/>
  <c r="QH6" i="38"/>
  <c r="QI6" i="38"/>
  <c r="QB6" i="38"/>
  <c r="QA6" i="38"/>
  <c r="PZ6" i="38"/>
  <c r="PW6" i="38"/>
  <c r="PX6" i="38"/>
  <c r="PY6" i="38"/>
  <c r="PV6" i="38"/>
  <c r="PS6" i="38"/>
  <c r="PT6" i="38"/>
  <c r="PU6" i="38"/>
  <c r="PR6" i="38"/>
  <c r="PO6" i="38"/>
  <c r="PP6" i="38"/>
  <c r="PQ6" i="38"/>
  <c r="PN6" i="38"/>
  <c r="PK6" i="38"/>
  <c r="PL6" i="38"/>
  <c r="PM6" i="38"/>
  <c r="PJ6" i="38"/>
  <c r="PI6" i="38"/>
  <c r="PH6" i="38"/>
  <c r="PG6" i="38"/>
  <c r="E150" i="27"/>
  <c r="F150" i="27" s="1"/>
  <c r="E154" i="27"/>
  <c r="E155" i="27"/>
  <c r="F155" i="27" s="1"/>
  <c r="E156" i="27"/>
  <c r="F156" i="27" s="1"/>
  <c r="E157" i="27"/>
  <c r="F157" i="27" s="1"/>
  <c r="E141" i="27"/>
  <c r="F141" i="27" s="1"/>
  <c r="E144" i="27"/>
  <c r="F144" i="27" s="1"/>
  <c r="C109" i="27"/>
  <c r="NS6" i="38" s="1"/>
  <c r="C110" i="27"/>
  <c r="E110" i="27" s="1"/>
  <c r="F110" i="27" s="1"/>
  <c r="C111" i="27"/>
  <c r="NU6" i="38" s="1"/>
  <c r="C112" i="27"/>
  <c r="NV6" i="38" s="1"/>
  <c r="C113" i="27"/>
  <c r="NW6" i="38" s="1"/>
  <c r="C114" i="27"/>
  <c r="E114" i="27" s="1"/>
  <c r="F114" i="27" s="1"/>
  <c r="C101" i="27"/>
  <c r="NL6" i="38" s="1"/>
  <c r="C102" i="27"/>
  <c r="NM6" i="38" s="1"/>
  <c r="C103" i="27"/>
  <c r="NN6" i="38" s="1"/>
  <c r="C104" i="27"/>
  <c r="C105" i="27"/>
  <c r="NP6" i="38" s="1"/>
  <c r="C106" i="27"/>
  <c r="NQ6" i="38" s="1"/>
  <c r="C108" i="27"/>
  <c r="NR6" i="38" s="1"/>
  <c r="C90" i="27"/>
  <c r="NB6" i="38" s="1"/>
  <c r="C91" i="27"/>
  <c r="NC6" i="38" s="1"/>
  <c r="C92" i="27"/>
  <c r="ND6" i="38" s="1"/>
  <c r="C93" i="27"/>
  <c r="NE6" i="38" s="1"/>
  <c r="C94" i="27"/>
  <c r="NF6" i="38" s="1"/>
  <c r="C95" i="27"/>
  <c r="NG6" i="38" s="1"/>
  <c r="C96" i="27"/>
  <c r="C97" i="27"/>
  <c r="NI6" i="38" s="1"/>
  <c r="C98" i="27"/>
  <c r="NJ6" i="38" s="1"/>
  <c r="C100" i="27"/>
  <c r="NK6" i="38" s="1"/>
  <c r="E82" i="27"/>
  <c r="F82" i="27" s="1"/>
  <c r="E85" i="27"/>
  <c r="F85" i="27" s="1"/>
  <c r="E86" i="27"/>
  <c r="F86" i="27" s="1"/>
  <c r="E87" i="27"/>
  <c r="F87" i="27" s="1"/>
  <c r="C89" i="27"/>
  <c r="NA6" i="38" s="1"/>
  <c r="E80" i="27"/>
  <c r="F80" i="27" s="1"/>
  <c r="E81" i="27"/>
  <c r="F81" i="27" s="1"/>
  <c r="E76" i="27"/>
  <c r="F76" i="27" s="1"/>
  <c r="E68" i="27"/>
  <c r="F68" i="27"/>
  <c r="E69" i="27"/>
  <c r="F69" i="27" s="1"/>
  <c r="E71" i="27"/>
  <c r="E72" i="27"/>
  <c r="F72" i="27" s="1"/>
  <c r="E73" i="27"/>
  <c r="F73" i="27" s="1"/>
  <c r="E56" i="27"/>
  <c r="F56" i="27"/>
  <c r="E60" i="27"/>
  <c r="F60" i="27" s="1"/>
  <c r="E63" i="27"/>
  <c r="F63" i="27" s="1"/>
  <c r="E64" i="27"/>
  <c r="F64" i="27" s="1"/>
  <c r="E50" i="27"/>
  <c r="F50" i="27" s="1"/>
  <c r="E51" i="27"/>
  <c r="F51" i="27" s="1"/>
  <c r="E37" i="27"/>
  <c r="F37" i="27" s="1"/>
  <c r="E42" i="27"/>
  <c r="F42" i="27" s="1"/>
  <c r="E21" i="27"/>
  <c r="F21" i="27" s="1"/>
  <c r="E22" i="27"/>
  <c r="F22" i="27" s="1"/>
  <c r="E25" i="27"/>
  <c r="F55" i="32"/>
  <c r="G55" i="32" s="1"/>
  <c r="C9" i="27"/>
  <c r="KE6" i="38" s="1"/>
  <c r="E11" i="27"/>
  <c r="F11" i="27" s="1"/>
  <c r="E12" i="27"/>
  <c r="F12" i="27" s="1"/>
  <c r="E17" i="27"/>
  <c r="F17" i="27" s="1"/>
  <c r="E19" i="27"/>
  <c r="F19" i="27" s="1"/>
  <c r="F152" i="27"/>
  <c r="F154" i="27"/>
  <c r="F25" i="27"/>
  <c r="F71" i="27"/>
  <c r="C237" i="1"/>
  <c r="FJ6" i="38" s="1"/>
  <c r="C238" i="1"/>
  <c r="FK6" i="38" s="1"/>
  <c r="C239" i="1"/>
  <c r="FL6" i="38" s="1"/>
  <c r="C240" i="1"/>
  <c r="FM6" i="38" s="1"/>
  <c r="C241" i="1"/>
  <c r="FN6" i="38" s="1"/>
  <c r="C243" i="1"/>
  <c r="FO6" i="38" s="1"/>
  <c r="C244" i="1"/>
  <c r="FP6" i="38" s="1"/>
  <c r="C245" i="1"/>
  <c r="FQ6" i="38" s="1"/>
  <c r="C246" i="1"/>
  <c r="FR6" i="38" s="1"/>
  <c r="C247" i="1"/>
  <c r="FS6" i="38" s="1"/>
  <c r="C233" i="1"/>
  <c r="FG6" i="38" s="1"/>
  <c r="C234" i="1"/>
  <c r="FH6" i="38" s="1"/>
  <c r="C236" i="1"/>
  <c r="FI6" i="38" s="1"/>
  <c r="C215" i="1"/>
  <c r="EO6" i="38" s="1"/>
  <c r="C216" i="1"/>
  <c r="EP6" i="38" s="1"/>
  <c r="C218" i="1"/>
  <c r="ER6" i="38" s="1"/>
  <c r="C219" i="1"/>
  <c r="ES6" i="38" s="1"/>
  <c r="C220" i="1"/>
  <c r="ET6" i="38" s="1"/>
  <c r="C221" i="1"/>
  <c r="EU6" i="38" s="1"/>
  <c r="C222" i="1"/>
  <c r="EV6" i="38" s="1"/>
  <c r="C223" i="1"/>
  <c r="EW6" i="38" s="1"/>
  <c r="C224" i="1"/>
  <c r="EX6" i="38" s="1"/>
  <c r="C225" i="1"/>
  <c r="EY6" i="38" s="1"/>
  <c r="C226" i="1"/>
  <c r="EZ6" i="38" s="1"/>
  <c r="C227" i="1"/>
  <c r="FA6" i="38" s="1"/>
  <c r="C228" i="1"/>
  <c r="FB6" i="38" s="1"/>
  <c r="C229" i="1"/>
  <c r="FC6" i="38" s="1"/>
  <c r="C230" i="1"/>
  <c r="FD6" i="38" s="1"/>
  <c r="C231" i="1"/>
  <c r="FE6" i="38" s="1"/>
  <c r="C232" i="1"/>
  <c r="FF6" i="38" s="1"/>
  <c r="F12" i="32"/>
  <c r="G12" i="32" s="1"/>
  <c r="F13" i="32"/>
  <c r="G13" i="32" s="1"/>
  <c r="F14" i="32"/>
  <c r="G14" i="32" s="1"/>
  <c r="F15" i="32"/>
  <c r="G15" i="32" s="1"/>
  <c r="F16" i="32"/>
  <c r="G16" i="32" s="1"/>
  <c r="AJ6" i="38"/>
  <c r="AK6" i="38"/>
  <c r="AL6" i="38"/>
  <c r="AM6" i="38"/>
  <c r="AN6" i="38"/>
  <c r="AI6" i="38"/>
  <c r="Z6" i="38"/>
  <c r="AA6" i="38"/>
  <c r="AB6" i="38"/>
  <c r="Y6" i="38"/>
  <c r="U6" i="38"/>
  <c r="V6" i="38"/>
  <c r="W6" i="38"/>
  <c r="X6" i="38"/>
  <c r="T6" i="38"/>
  <c r="S6" i="38"/>
  <c r="R6" i="38"/>
  <c r="Q6" i="38"/>
  <c r="P6" i="38"/>
  <c r="O6" i="38"/>
  <c r="M6" i="38"/>
  <c r="N6" i="38"/>
  <c r="L6" i="38"/>
  <c r="K6" i="38"/>
  <c r="I6" i="38"/>
  <c r="J6" i="38"/>
  <c r="H6" i="38"/>
  <c r="C6" i="38"/>
  <c r="D6" i="38"/>
  <c r="E6" i="38"/>
  <c r="F6" i="38"/>
  <c r="G6" i="38"/>
  <c r="C30" i="1"/>
  <c r="BX6" i="38" s="1"/>
  <c r="C31" i="1"/>
  <c r="BY6" i="38" s="1"/>
  <c r="C32" i="1"/>
  <c r="BZ6" i="38" s="1"/>
  <c r="C33" i="1"/>
  <c r="CA6" i="38" s="1"/>
  <c r="C34" i="1"/>
  <c r="CB6" i="38" s="1"/>
  <c r="C12" i="1"/>
  <c r="BC6" i="38" s="1"/>
  <c r="C13" i="1"/>
  <c r="BD6" i="38" s="1"/>
  <c r="C14" i="1"/>
  <c r="BJ6" i="38" s="1"/>
  <c r="C15" i="1"/>
  <c r="BK6" i="38" s="1"/>
  <c r="C16" i="1"/>
  <c r="BL6" i="38" s="1"/>
  <c r="C17" i="1"/>
  <c r="BM6" i="38" s="1"/>
  <c r="C18" i="1"/>
  <c r="BN6" i="38" s="1"/>
  <c r="C19" i="1"/>
  <c r="BO6" i="38" s="1"/>
  <c r="C20" i="1"/>
  <c r="BP6" i="38" s="1"/>
  <c r="C21" i="1"/>
  <c r="BQ6" i="38" s="1"/>
  <c r="C22" i="1"/>
  <c r="BR6" i="38" s="1"/>
  <c r="C23" i="1"/>
  <c r="BS6" i="38" s="1"/>
  <c r="C24" i="1"/>
  <c r="BT6" i="38" s="1"/>
  <c r="C25" i="1"/>
  <c r="BU6" i="38" s="1"/>
  <c r="C26" i="1"/>
  <c r="BV6" i="38" s="1"/>
  <c r="AV6" i="38"/>
  <c r="AW6" i="38"/>
  <c r="AX6" i="38"/>
  <c r="AY6" i="38"/>
  <c r="AZ6" i="38"/>
  <c r="BA6" i="38"/>
  <c r="AP6" i="38"/>
  <c r="AQ6" i="38"/>
  <c r="AR6" i="38"/>
  <c r="AS6" i="38"/>
  <c r="AT6" i="38"/>
  <c r="AO6" i="38"/>
  <c r="AU6" i="38"/>
  <c r="C8" i="1"/>
  <c r="C7" i="1"/>
  <c r="G6" i="1"/>
  <c r="E6" i="1"/>
  <c r="C6" i="1"/>
  <c r="C5" i="1"/>
  <c r="C4" i="1"/>
  <c r="C11" i="1"/>
  <c r="BB6" i="38" s="1"/>
  <c r="C29" i="1"/>
  <c r="BW6" i="38" s="1"/>
  <c r="B8" i="8"/>
  <c r="B6" i="8"/>
  <c r="B81" i="23"/>
  <c r="B80" i="23"/>
  <c r="E60" i="3"/>
  <c r="E86" i="3"/>
  <c r="E94" i="3" s="1"/>
  <c r="E101" i="3" s="1"/>
  <c r="E110" i="3" s="1"/>
  <c r="E120" i="3" s="1"/>
  <c r="E143" i="3" s="1"/>
  <c r="E155" i="3" s="1"/>
  <c r="I16" i="9"/>
  <c r="I48" i="35"/>
  <c r="I47" i="35"/>
  <c r="I46" i="35"/>
  <c r="I45" i="35"/>
  <c r="I44" i="35"/>
  <c r="I43" i="35"/>
  <c r="I106" i="25"/>
  <c r="I105" i="25"/>
  <c r="I103" i="25"/>
  <c r="I102" i="25"/>
  <c r="I95" i="25"/>
  <c r="I218" i="8"/>
  <c r="I23" i="20"/>
  <c r="I22" i="20"/>
  <c r="I47" i="20"/>
  <c r="I88" i="30"/>
  <c r="I55" i="32"/>
  <c r="I54" i="32"/>
  <c r="I73" i="32"/>
  <c r="I156" i="23"/>
  <c r="I168" i="23"/>
  <c r="I9" i="30"/>
  <c r="I10" i="30"/>
  <c r="F52" i="32"/>
  <c r="F53" i="32"/>
  <c r="I87" i="30"/>
  <c r="I70" i="34"/>
  <c r="I55" i="34"/>
  <c r="I41" i="34"/>
  <c r="I33" i="9"/>
  <c r="I34" i="9"/>
  <c r="I35" i="9"/>
  <c r="I36" i="9"/>
  <c r="I37" i="9"/>
  <c r="I43" i="9"/>
  <c r="I32" i="9"/>
  <c r="I30" i="9"/>
  <c r="I6" i="9"/>
  <c r="I7" i="9"/>
  <c r="I8" i="9"/>
  <c r="I9" i="9"/>
  <c r="I10" i="9"/>
  <c r="I11" i="9"/>
  <c r="I12" i="9"/>
  <c r="I13" i="9"/>
  <c r="I5" i="9"/>
  <c r="I40" i="23"/>
  <c r="I64" i="23"/>
  <c r="I11" i="30"/>
  <c r="I68" i="34"/>
  <c r="I53" i="34"/>
  <c r="I36" i="34"/>
  <c r="I5" i="36"/>
  <c r="I30" i="36"/>
  <c r="I29" i="36"/>
  <c r="I36" i="36"/>
  <c r="I8" i="5"/>
  <c r="I7" i="5"/>
  <c r="I79" i="8"/>
  <c r="I232" i="8"/>
  <c r="I65" i="24"/>
  <c r="I76" i="24"/>
  <c r="I94" i="24"/>
  <c r="I95" i="24"/>
  <c r="I93" i="24"/>
  <c r="I44" i="25"/>
  <c r="I43" i="25"/>
  <c r="I56" i="25"/>
  <c r="I111" i="25"/>
  <c r="I148" i="25"/>
  <c r="I140" i="25"/>
  <c r="I153" i="25"/>
  <c r="I154" i="25"/>
  <c r="I155" i="25"/>
  <c r="I156" i="25"/>
  <c r="I157" i="25"/>
  <c r="I158" i="25"/>
  <c r="I159" i="25"/>
  <c r="I160" i="25"/>
  <c r="I128" i="25"/>
  <c r="I129" i="25"/>
  <c r="I130" i="25"/>
  <c r="I132" i="25"/>
  <c r="I133" i="25"/>
  <c r="I134" i="25"/>
  <c r="F88" i="24"/>
  <c r="F92" i="30"/>
  <c r="F93" i="30"/>
  <c r="I8" i="30"/>
  <c r="F51" i="34"/>
  <c r="F65" i="34"/>
  <c r="I9" i="25"/>
  <c r="I14" i="23"/>
  <c r="F74" i="33"/>
  <c r="F76" i="33"/>
  <c r="I80" i="25"/>
  <c r="I79" i="25"/>
  <c r="I78" i="25"/>
  <c r="I77" i="25"/>
  <c r="I61" i="25"/>
  <c r="I20" i="24"/>
  <c r="I37" i="5"/>
  <c r="I9" i="5"/>
  <c r="I42" i="20"/>
  <c r="I41" i="20"/>
  <c r="I6" i="32"/>
  <c r="I7" i="30"/>
  <c r="I6" i="30"/>
  <c r="I5" i="30"/>
  <c r="F56" i="5"/>
  <c r="F99" i="25"/>
  <c r="F34" i="34"/>
  <c r="F123" i="25"/>
  <c r="F51" i="5"/>
  <c r="I37" i="35"/>
  <c r="I35" i="35"/>
  <c r="I8" i="25"/>
  <c r="I11" i="25"/>
  <c r="I29" i="8"/>
  <c r="I52" i="5"/>
  <c r="I81" i="30"/>
  <c r="I39" i="5"/>
  <c r="I67" i="24"/>
  <c r="I91" i="24"/>
  <c r="E7" i="27"/>
  <c r="F7" i="27" s="1"/>
  <c r="E109" i="27"/>
  <c r="F109" i="27" s="1"/>
  <c r="E103" i="27"/>
  <c r="F103" i="27" s="1"/>
  <c r="E93" i="27"/>
  <c r="F93" i="27" s="1"/>
  <c r="OD6" i="38"/>
  <c r="PB6" i="38"/>
  <c r="E153" i="27"/>
  <c r="F153" i="27"/>
  <c r="D196" i="1"/>
  <c r="CM6" i="38" s="1"/>
  <c r="D208" i="1"/>
  <c r="CY6" i="38" s="1"/>
  <c r="D204" i="1"/>
  <c r="CU6" i="38" s="1"/>
  <c r="NO6" i="38"/>
  <c r="E104" i="27"/>
  <c r="F104" i="27" s="1"/>
  <c r="NT6" i="38"/>
  <c r="NH6" i="38"/>
  <c r="E96" i="27"/>
  <c r="F96" i="27" s="1"/>
  <c r="E112" i="27"/>
  <c r="F112" i="27" s="1"/>
  <c r="E95" i="27"/>
  <c r="F95" i="27" s="1"/>
  <c r="NX6" i="38"/>
  <c r="D195" i="1"/>
  <c r="CL6" i="38" s="1"/>
  <c r="D191" i="1"/>
  <c r="CH6" i="38" s="1"/>
  <c r="D203" i="1"/>
  <c r="CT6" i="38" s="1"/>
  <c r="C172" i="1"/>
  <c r="JT6" i="38" s="1"/>
  <c r="C170" i="1"/>
  <c r="JR6" i="38" s="1"/>
  <c r="I125" i="25"/>
  <c r="I131" i="25"/>
  <c r="I127" i="25"/>
  <c r="E49" i="27"/>
  <c r="F49" i="27"/>
  <c r="E75" i="27"/>
  <c r="F75" i="27"/>
  <c r="I10" i="25"/>
  <c r="E44" i="27"/>
  <c r="F44" i="27" s="1"/>
  <c r="E67" i="27"/>
  <c r="F67" i="27" s="1"/>
  <c r="E84" i="27"/>
  <c r="F84" i="27" s="1"/>
  <c r="C167" i="1"/>
  <c r="JO6" i="38" s="1"/>
  <c r="E128" i="27"/>
  <c r="F128" i="27" s="1"/>
  <c r="MB6" i="38"/>
  <c r="E194" i="1"/>
  <c r="DJ6" i="38" s="1"/>
  <c r="E206" i="1"/>
  <c r="DV6" i="38" s="1"/>
  <c r="E35" i="27"/>
  <c r="F35" i="27" s="1"/>
  <c r="E208" i="1"/>
  <c r="DX6" i="38" s="1"/>
  <c r="C151" i="1"/>
  <c r="JC6" i="38" s="1"/>
  <c r="E32" i="27"/>
  <c r="F32" i="27" s="1"/>
  <c r="E207" i="1"/>
  <c r="DW6" i="38" s="1"/>
  <c r="E195" i="1"/>
  <c r="DK6" i="38" s="1"/>
  <c r="E200" i="1"/>
  <c r="DP6" i="38" s="1"/>
  <c r="E188" i="1"/>
  <c r="DD6" i="38" s="1"/>
  <c r="C104" i="1"/>
  <c r="HR6" i="38" s="1"/>
  <c r="E148" i="27"/>
  <c r="F148" i="27" s="1"/>
  <c r="I12" i="20"/>
  <c r="OB6" i="38"/>
  <c r="I65" i="20"/>
  <c r="C97" i="1"/>
  <c r="HM6" i="38" s="1"/>
  <c r="E134" i="27"/>
  <c r="F134" i="27" s="1"/>
  <c r="OI6" i="38"/>
  <c r="OG6" i="38"/>
  <c r="I79" i="24"/>
  <c r="E38" i="27"/>
  <c r="F38" i="27" s="1"/>
  <c r="C157" i="1"/>
  <c r="JG6" i="38" s="1"/>
  <c r="C159" i="1"/>
  <c r="JI6" i="38" s="1"/>
  <c r="OE6" i="38"/>
  <c r="I71" i="24"/>
  <c r="E23" i="27"/>
  <c r="F23" i="27" s="1"/>
  <c r="E24" i="27"/>
  <c r="F24" i="27"/>
  <c r="E16" i="27"/>
  <c r="F16" i="27"/>
  <c r="E20" i="27"/>
  <c r="F20" i="27" s="1"/>
  <c r="E14" i="27"/>
  <c r="F14" i="27" s="1"/>
  <c r="I39" i="20"/>
  <c r="E15" i="27"/>
  <c r="F15" i="27" s="1"/>
  <c r="E147" i="27"/>
  <c r="F147" i="27"/>
  <c r="E142" i="27"/>
  <c r="F142" i="27" s="1"/>
  <c r="C86" i="1"/>
  <c r="HD6" i="38" s="1"/>
  <c r="C165" i="1"/>
  <c r="JM6" i="38" s="1"/>
  <c r="C135" i="27" l="1"/>
  <c r="C137" i="27"/>
  <c r="B4" i="3"/>
  <c r="B9" i="1"/>
  <c r="E105" i="27"/>
  <c r="F105" i="27" s="1"/>
  <c r="I25" i="9"/>
  <c r="C3" i="33"/>
  <c r="C100" i="1" s="1"/>
  <c r="HN6" i="38" s="1"/>
  <c r="C57" i="32"/>
  <c r="C81" i="1" s="1"/>
  <c r="HA6" i="38" s="1"/>
  <c r="C31" i="18"/>
  <c r="D188" i="1" s="1"/>
  <c r="CE6" i="38" s="1"/>
  <c r="C40" i="9"/>
  <c r="C183" i="1" s="1"/>
  <c r="KA6" i="38" s="1"/>
  <c r="E113" i="27"/>
  <c r="F113" i="27" s="1"/>
  <c r="C29" i="9"/>
  <c r="C182" i="1" s="1"/>
  <c r="JZ6" i="38" s="1"/>
  <c r="E106" i="27"/>
  <c r="F106" i="27" s="1"/>
  <c r="E102" i="27"/>
  <c r="F102" i="27" s="1"/>
  <c r="C18" i="9"/>
  <c r="C181" i="1" s="1"/>
  <c r="JY6" i="38" s="1"/>
  <c r="E101" i="27"/>
  <c r="F101" i="27" s="1"/>
  <c r="E98" i="27"/>
  <c r="F98" i="27" s="1"/>
  <c r="E94" i="27"/>
  <c r="F94" i="27" s="1"/>
  <c r="E92" i="27"/>
  <c r="F92" i="27" s="1"/>
  <c r="C3" i="35"/>
  <c r="C175" i="1" s="1"/>
  <c r="JU6" i="38" s="1"/>
  <c r="E47" i="27"/>
  <c r="F47" i="27" s="1"/>
  <c r="C3" i="25"/>
  <c r="C163" i="1" s="1"/>
  <c r="JK6" i="38" s="1"/>
  <c r="I7" i="25"/>
  <c r="C3" i="24"/>
  <c r="C155" i="1" s="1"/>
  <c r="JE6" i="38" s="1"/>
  <c r="C20" i="8"/>
  <c r="E187" i="1" s="1"/>
  <c r="DC6" i="38" s="1"/>
  <c r="C3" i="5"/>
  <c r="C132" i="1" s="1"/>
  <c r="IL6" i="38" s="1"/>
  <c r="C3" i="34"/>
  <c r="C118" i="1" s="1"/>
  <c r="IB6" i="38" s="1"/>
  <c r="C26" i="18"/>
  <c r="D187" i="1" s="1"/>
  <c r="CD6" i="38" s="1"/>
  <c r="E143" i="27"/>
  <c r="F143" i="27" s="1"/>
  <c r="C5" i="32"/>
  <c r="C77" i="1" s="1"/>
  <c r="GW6" i="38" s="1"/>
  <c r="NZ6" i="38"/>
  <c r="NY6" i="38"/>
  <c r="C2" i="20"/>
  <c r="C94" i="1" s="1"/>
  <c r="HJ6" i="38" s="1"/>
  <c r="I6" i="20"/>
  <c r="B112" i="3"/>
  <c r="B128" i="18"/>
  <c r="E140" i="27"/>
  <c r="F140" i="27" s="1"/>
  <c r="C152" i="8"/>
  <c r="C148" i="1" s="1"/>
  <c r="IZ6" i="38" s="1"/>
  <c r="E100" i="27"/>
  <c r="F100" i="27" s="1"/>
  <c r="E79" i="27"/>
  <c r="F79" i="27" s="1"/>
  <c r="E66" i="27"/>
  <c r="F66" i="27" s="1"/>
  <c r="I6" i="25"/>
  <c r="C168" i="8"/>
  <c r="C149" i="1" s="1"/>
  <c r="JA6" i="38" s="1"/>
  <c r="E204" i="1"/>
  <c r="DT6" i="38" s="1"/>
  <c r="E209" i="1"/>
  <c r="DY6" i="38" s="1"/>
  <c r="C138" i="18"/>
  <c r="C114" i="1" s="1"/>
  <c r="HZ6" i="38" s="1"/>
  <c r="D209" i="1"/>
  <c r="CZ6" i="38" s="1"/>
  <c r="OU6" i="38"/>
  <c r="B156" i="3"/>
  <c r="C65" i="32"/>
  <c r="C82" i="1" s="1"/>
  <c r="HB6" i="38" s="1"/>
  <c r="C158" i="23"/>
  <c r="C74" i="1" s="1"/>
  <c r="GV6" i="38" s="1"/>
  <c r="C78" i="23"/>
  <c r="C69" i="1" s="1"/>
  <c r="GQ6" i="38" s="1"/>
  <c r="C43" i="23"/>
  <c r="C66" i="1" s="1"/>
  <c r="GN6" i="38" s="1"/>
  <c r="C1" i="32"/>
  <c r="C76" i="1" s="1"/>
  <c r="C49" i="1" s="1"/>
  <c r="FY6" i="38" s="1"/>
  <c r="C18" i="32"/>
  <c r="C78" i="1" s="1"/>
  <c r="GX6" i="38" s="1"/>
  <c r="E138" i="27"/>
  <c r="F138" i="27" s="1"/>
  <c r="B22" i="18"/>
  <c r="H17" i="18" s="1"/>
  <c r="B14" i="25"/>
  <c r="B37" i="34"/>
  <c r="E18" i="27"/>
  <c r="F18" i="27" s="1"/>
  <c r="B23" i="18"/>
  <c r="H18" i="18" s="1"/>
  <c r="B154" i="3"/>
  <c r="C120" i="3"/>
  <c r="C110" i="3"/>
  <c r="C155" i="3"/>
  <c r="C101" i="3"/>
  <c r="C143" i="3"/>
  <c r="C94" i="3"/>
  <c r="C60" i="3"/>
  <c r="C86" i="3"/>
  <c r="B12" i="8"/>
  <c r="B198" i="8"/>
  <c r="B170" i="8"/>
  <c r="B124" i="8"/>
  <c r="B191" i="8"/>
  <c r="B145" i="8"/>
  <c r="B117" i="8"/>
  <c r="B184" i="8"/>
  <c r="B138" i="8"/>
  <c r="B110" i="8"/>
  <c r="B177" i="8"/>
  <c r="B131" i="8"/>
  <c r="B103" i="8"/>
  <c r="E39" i="27"/>
  <c r="F39" i="27" s="1"/>
  <c r="E41" i="27"/>
  <c r="F41" i="27" s="1"/>
  <c r="E34" i="27"/>
  <c r="F34" i="27" s="1"/>
  <c r="E36" i="27"/>
  <c r="F36" i="27" s="1"/>
  <c r="E9" i="27"/>
  <c r="F9" i="27" s="1"/>
  <c r="E8" i="27"/>
  <c r="F8" i="27" s="1"/>
  <c r="E139" i="27"/>
  <c r="F139" i="27" s="1"/>
  <c r="E59" i="27"/>
  <c r="F59" i="27" s="1"/>
  <c r="I126" i="25"/>
  <c r="E54" i="27"/>
  <c r="F54" i="27" s="1"/>
  <c r="E48" i="27"/>
  <c r="F48" i="27" s="1"/>
  <c r="E45" i="27"/>
  <c r="F45" i="27" s="1"/>
  <c r="E62" i="27"/>
  <c r="F62" i="27" s="1"/>
  <c r="E57" i="27"/>
  <c r="F57" i="27" s="1"/>
  <c r="E70" i="27"/>
  <c r="F70" i="27" s="1"/>
  <c r="E83" i="27"/>
  <c r="F83" i="27" s="1"/>
  <c r="MQ6" i="38"/>
  <c r="E46" i="27"/>
  <c r="F46" i="27" s="1"/>
  <c r="E58" i="27"/>
  <c r="F58" i="27" s="1"/>
  <c r="E74" i="27"/>
  <c r="F74" i="27" s="1"/>
  <c r="C6" i="8"/>
  <c r="C141" i="1" s="1"/>
  <c r="IS6" i="38" s="1"/>
  <c r="C32" i="8"/>
  <c r="C145" i="1" s="1"/>
  <c r="IW6" i="38" s="1"/>
  <c r="B137" i="1"/>
  <c r="B14" i="8"/>
  <c r="B124" i="1"/>
  <c r="B55" i="1"/>
  <c r="B154" i="1"/>
  <c r="B58" i="1"/>
  <c r="B162" i="1"/>
  <c r="B59" i="1"/>
  <c r="B131" i="1"/>
  <c r="B56" i="1"/>
  <c r="B117" i="1"/>
  <c r="B54" i="1"/>
  <c r="B99" i="1"/>
  <c r="B52" i="1"/>
  <c r="B179" i="1"/>
  <c r="B61" i="1"/>
  <c r="B174" i="1"/>
  <c r="B60" i="1"/>
  <c r="B107" i="1"/>
  <c r="B53" i="1"/>
  <c r="B93" i="1"/>
  <c r="B51" i="1"/>
  <c r="B84" i="1"/>
  <c r="B50" i="1"/>
  <c r="B63" i="1"/>
  <c r="B48" i="1"/>
  <c r="E89" i="27"/>
  <c r="F89" i="27" s="1"/>
  <c r="E91" i="27"/>
  <c r="F91" i="27" s="1"/>
  <c r="C3" i="9"/>
  <c r="C180" i="1" s="1"/>
  <c r="JX6" i="38" s="1"/>
  <c r="A8" i="38"/>
  <c r="A1" i="38"/>
  <c r="E31" i="27"/>
  <c r="F31" i="27" s="1"/>
  <c r="E29" i="27"/>
  <c r="F29" i="27" s="1"/>
  <c r="OC6" i="38"/>
  <c r="I12" i="5"/>
  <c r="E26" i="27"/>
  <c r="F26" i="27" s="1"/>
  <c r="E30" i="27"/>
  <c r="F30" i="27" s="1"/>
  <c r="E27" i="27"/>
  <c r="F27" i="27" s="1"/>
  <c r="B72" i="18"/>
  <c r="B24" i="18"/>
  <c r="H19" i="18" s="1"/>
  <c r="B129" i="18"/>
  <c r="B17" i="8"/>
  <c r="B133" i="18"/>
  <c r="B13" i="8"/>
  <c r="D94" i="3"/>
  <c r="B118" i="18"/>
  <c r="B38" i="18"/>
  <c r="B109" i="18"/>
  <c r="B143" i="8"/>
  <c r="B92" i="18"/>
  <c r="B124" i="18"/>
  <c r="B115" i="3"/>
  <c r="B160" i="3"/>
  <c r="B104" i="8"/>
  <c r="B146" i="8"/>
  <c r="B111" i="8"/>
  <c r="B44" i="8"/>
  <c r="B125" i="8"/>
  <c r="H1" i="30"/>
  <c r="H1" i="20"/>
  <c r="G118" i="27"/>
  <c r="B74" i="8"/>
  <c r="B139" i="8"/>
  <c r="B171" i="8"/>
  <c r="B42" i="18"/>
  <c r="B98" i="18"/>
  <c r="B118" i="8"/>
  <c r="B150" i="8"/>
  <c r="B178" i="8"/>
  <c r="B62" i="18"/>
  <c r="D101" i="3"/>
  <c r="H142" i="23"/>
  <c r="B52" i="18"/>
  <c r="B78" i="18"/>
  <c r="B102" i="18"/>
  <c r="B32" i="18"/>
  <c r="B58" i="18"/>
  <c r="B82" i="18"/>
  <c r="B16" i="8"/>
  <c r="B114" i="3"/>
  <c r="E5" i="27"/>
  <c r="F5" i="27" s="1"/>
  <c r="B28" i="18"/>
  <c r="B48" i="18"/>
  <c r="B68" i="18"/>
  <c r="B88" i="18"/>
  <c r="E212" i="1"/>
  <c r="B142" i="3"/>
  <c r="E222" i="1"/>
  <c r="B159" i="3"/>
  <c r="C136" i="3"/>
  <c r="C140" i="3"/>
  <c r="C38" i="1" s="1"/>
  <c r="EM6" i="38" s="1"/>
  <c r="B158" i="3"/>
  <c r="B185" i="8"/>
  <c r="B15" i="8"/>
  <c r="B113" i="3"/>
  <c r="B116" i="3"/>
  <c r="B74" i="3"/>
  <c r="B39" i="8"/>
  <c r="B90" i="8"/>
  <c r="B135" i="8"/>
  <c r="B157" i="3"/>
  <c r="B99" i="8"/>
  <c r="B60" i="8"/>
  <c r="H3" i="27"/>
  <c r="B37" i="8"/>
  <c r="B55" i="8"/>
  <c r="B71" i="8"/>
  <c r="B86" i="8"/>
  <c r="B101" i="8"/>
  <c r="B108" i="8"/>
  <c r="B132" i="8"/>
  <c r="B149" i="8"/>
  <c r="B175" i="8"/>
  <c r="B192" i="8"/>
  <c r="B26" i="8"/>
  <c r="B35" i="8"/>
  <c r="B51" i="8"/>
  <c r="B67" i="8"/>
  <c r="B82" i="8"/>
  <c r="B107" i="8"/>
  <c r="B22" i="8"/>
  <c r="B48" i="8"/>
  <c r="B64" i="8"/>
  <c r="B78" i="8"/>
  <c r="B94" i="8"/>
  <c r="B97" i="8"/>
  <c r="B159" i="8"/>
  <c r="B127" i="8"/>
  <c r="B180" i="8"/>
  <c r="C133" i="27"/>
  <c r="C3" i="27"/>
  <c r="C118" i="27"/>
  <c r="B164" i="8"/>
  <c r="B76" i="8"/>
  <c r="B46" i="8"/>
  <c r="B84" i="8"/>
  <c r="B53" i="8"/>
  <c r="B157" i="8"/>
  <c r="B92" i="8"/>
  <c r="B62" i="8"/>
  <c r="B24" i="8"/>
  <c r="B112" i="8"/>
  <c r="B33" i="18"/>
  <c r="B43" i="18"/>
  <c r="B53" i="18"/>
  <c r="B63" i="18"/>
  <c r="B73" i="18"/>
  <c r="B83" i="18"/>
  <c r="B93" i="18"/>
  <c r="B103" i="18"/>
  <c r="B108" i="18"/>
  <c r="B123" i="18"/>
  <c r="B126" i="8"/>
  <c r="B27" i="18"/>
  <c r="B37" i="18"/>
  <c r="B47" i="18"/>
  <c r="B57" i="18"/>
  <c r="B67" i="18"/>
  <c r="B77" i="18"/>
  <c r="B87" i="18"/>
  <c r="B97" i="18"/>
  <c r="B107" i="18"/>
  <c r="G3" i="27"/>
  <c r="H118" i="27"/>
  <c r="B196" i="8"/>
  <c r="H1" i="24"/>
  <c r="B35" i="35"/>
  <c r="B151" i="27" s="1"/>
  <c r="B155" i="8"/>
  <c r="G9" i="30"/>
  <c r="C4" i="30" s="1"/>
  <c r="C85" i="1" s="1"/>
  <c r="HC6" i="38" s="1"/>
  <c r="C10" i="27"/>
  <c r="H1" i="18"/>
  <c r="H1" i="8"/>
  <c r="H1" i="5"/>
  <c r="OF6" i="38"/>
  <c r="E126" i="27"/>
  <c r="F126" i="27" s="1"/>
  <c r="E130" i="27" s="1"/>
  <c r="FU6" i="38" s="1"/>
  <c r="E149" i="27"/>
  <c r="F149" i="27" s="1"/>
  <c r="OX6" i="38"/>
  <c r="C7" i="8"/>
  <c r="C142" i="1" s="1"/>
  <c r="IT6" i="38" s="1"/>
  <c r="C1" i="5"/>
  <c r="C131" i="1" s="1"/>
  <c r="C56" i="1" s="1"/>
  <c r="GF6" i="38" s="1"/>
  <c r="C17" i="18"/>
  <c r="C110" i="1" s="1"/>
  <c r="HV6" i="38" s="1"/>
  <c r="H1" i="36"/>
  <c r="H1" i="35"/>
  <c r="E52" i="27"/>
  <c r="F52" i="27" s="1"/>
  <c r="E111" i="27"/>
  <c r="F111" i="27" s="1"/>
  <c r="E90" i="27"/>
  <c r="F90" i="27" s="1"/>
  <c r="E40" i="27"/>
  <c r="F40" i="27" s="1"/>
  <c r="E108" i="27"/>
  <c r="F108" i="27" s="1"/>
  <c r="C8" i="8"/>
  <c r="C143" i="1" s="1"/>
  <c r="IU6" i="38" s="1"/>
  <c r="G18" i="8"/>
  <c r="I18" i="8"/>
  <c r="C1" i="20"/>
  <c r="C93" i="1" s="1"/>
  <c r="C51" i="1" s="1"/>
  <c r="GA6" i="38" s="1"/>
  <c r="C5" i="8"/>
  <c r="G156" i="23"/>
  <c r="C136" i="27"/>
  <c r="B135" i="18"/>
  <c r="B130" i="18"/>
  <c r="B110" i="18"/>
  <c r="B115" i="18"/>
  <c r="B120" i="18"/>
  <c r="B105" i="18"/>
  <c r="B100" i="18"/>
  <c r="B95" i="18"/>
  <c r="B90" i="18"/>
  <c r="B85" i="18"/>
  <c r="B80" i="18"/>
  <c r="B75" i="18"/>
  <c r="B70" i="18"/>
  <c r="B65" i="18"/>
  <c r="B60" i="18"/>
  <c r="B55" i="18"/>
  <c r="B50" i="18"/>
  <c r="B45" i="18"/>
  <c r="B40" i="18"/>
  <c r="B35" i="18"/>
  <c r="B30" i="18"/>
  <c r="B125" i="18"/>
  <c r="B25" i="18"/>
  <c r="H20" i="18" s="1"/>
  <c r="H1" i="34"/>
  <c r="H1" i="33"/>
  <c r="H1" i="25"/>
  <c r="H1" i="32"/>
  <c r="E97" i="27"/>
  <c r="F97" i="27" s="1"/>
  <c r="E28" i="27"/>
  <c r="F28" i="27" s="1"/>
  <c r="E145" i="27"/>
  <c r="F145" i="27" s="1"/>
  <c r="E121" i="27"/>
  <c r="F121" i="27" s="1"/>
  <c r="OA6" i="38"/>
  <c r="C4" i="8"/>
  <c r="C139" i="1" s="1"/>
  <c r="IQ6" i="38" s="1"/>
  <c r="C1" i="18"/>
  <c r="C107" i="1" s="1"/>
  <c r="C53" i="1" s="1"/>
  <c r="GC6" i="38" s="1"/>
  <c r="OJ6" i="38"/>
  <c r="E135" i="27"/>
  <c r="C19" i="18"/>
  <c r="C112" i="1" s="1"/>
  <c r="HX6" i="38" s="1"/>
  <c r="C1" i="25"/>
  <c r="C162" i="1" s="1"/>
  <c r="C59" i="1" s="1"/>
  <c r="GI6" i="38" s="1"/>
  <c r="C79" i="23"/>
  <c r="C70" i="1" s="1"/>
  <c r="GR6" i="38" s="1"/>
  <c r="C144" i="8"/>
  <c r="C203" i="1"/>
  <c r="B161" i="8"/>
  <c r="B154" i="8"/>
  <c r="B96" i="8"/>
  <c r="B89" i="8"/>
  <c r="B81" i="8"/>
  <c r="B73" i="8"/>
  <c r="B66" i="8"/>
  <c r="B59" i="8"/>
  <c r="B50" i="8"/>
  <c r="B43" i="8"/>
  <c r="B34" i="8"/>
  <c r="B21" i="8"/>
  <c r="B201" i="8"/>
  <c r="B187" i="8"/>
  <c r="B113" i="8"/>
  <c r="B106" i="8"/>
  <c r="B194" i="8"/>
  <c r="B148" i="8"/>
  <c r="B173" i="8"/>
  <c r="B141" i="8"/>
  <c r="B134" i="8"/>
  <c r="C57" i="8"/>
  <c r="C146" i="1" s="1"/>
  <c r="IX6" i="38" s="1"/>
  <c r="B115" i="8"/>
  <c r="B122" i="8"/>
  <c r="B140" i="8"/>
  <c r="B189" i="8"/>
  <c r="B29" i="18"/>
  <c r="B34" i="18"/>
  <c r="B39" i="18"/>
  <c r="B44" i="18"/>
  <c r="B49" i="18"/>
  <c r="B54" i="18"/>
  <c r="B59" i="18"/>
  <c r="B64" i="18"/>
  <c r="B69" i="18"/>
  <c r="B74" i="18"/>
  <c r="B79" i="18"/>
  <c r="B84" i="18"/>
  <c r="B89" i="18"/>
  <c r="B94" i="18"/>
  <c r="B99" i="18"/>
  <c r="B104" i="18"/>
  <c r="B119" i="18"/>
  <c r="B121" i="8"/>
  <c r="B129" i="8"/>
  <c r="B136" i="8"/>
  <c r="B182" i="8"/>
  <c r="B114" i="18"/>
  <c r="C1" i="24"/>
  <c r="C154" i="1" s="1"/>
  <c r="C58" i="1" s="1"/>
  <c r="GH6" i="38" s="1"/>
  <c r="C1" i="9"/>
  <c r="OZ6" i="38"/>
  <c r="C1" i="36"/>
  <c r="C124" i="1" s="1"/>
  <c r="C55" i="1" s="1"/>
  <c r="GE6" i="38" s="1"/>
  <c r="C1" i="33"/>
  <c r="C99" i="1" s="1"/>
  <c r="C52" i="1" s="1"/>
  <c r="GB6" i="38" s="1"/>
  <c r="C1" i="35"/>
  <c r="C174" i="1" s="1"/>
  <c r="C60" i="1" s="1"/>
  <c r="GJ6" i="38" s="1"/>
  <c r="KI6" i="38"/>
  <c r="C1" i="34"/>
  <c r="C117" i="1" s="1"/>
  <c r="C54" i="1" s="1"/>
  <c r="GD6" i="38" s="1"/>
  <c r="C18" i="18"/>
  <c r="C20" i="18"/>
  <c r="C113" i="1" s="1"/>
  <c r="HY6" i="38" s="1"/>
  <c r="C1" i="23"/>
  <c r="C63" i="1" s="1"/>
  <c r="C48" i="1" s="1"/>
  <c r="C80" i="23"/>
  <c r="C71" i="1" s="1"/>
  <c r="GS6" i="38" s="1"/>
  <c r="D3" i="27"/>
  <c r="D118" i="27"/>
  <c r="B23" i="8"/>
  <c r="B38" i="8"/>
  <c r="B45" i="8"/>
  <c r="B54" i="8"/>
  <c r="B61" i="8"/>
  <c r="B70" i="8"/>
  <c r="B75" i="8"/>
  <c r="B85" i="8"/>
  <c r="B91" i="8"/>
  <c r="B100" i="8"/>
  <c r="B156" i="8"/>
  <c r="B165" i="8"/>
  <c r="B163" i="8"/>
  <c r="B172" i="8"/>
  <c r="B181" i="8"/>
  <c r="B186" i="8"/>
  <c r="B195" i="8"/>
  <c r="B202" i="8"/>
  <c r="B200" i="8"/>
  <c r="B25" i="8"/>
  <c r="B36" i="8"/>
  <c r="B47" i="8"/>
  <c r="B52" i="8"/>
  <c r="B63" i="8"/>
  <c r="B68" i="8"/>
  <c r="B77" i="8"/>
  <c r="B83" i="8"/>
  <c r="B93" i="8"/>
  <c r="B174" i="8"/>
  <c r="B179" i="8"/>
  <c r="B188" i="8"/>
  <c r="B193" i="8"/>
  <c r="B105" i="8"/>
  <c r="B114" i="8"/>
  <c r="B119" i="8"/>
  <c r="B128" i="8"/>
  <c r="B133" i="8"/>
  <c r="B112" i="18"/>
  <c r="B117" i="18"/>
  <c r="B122" i="18"/>
  <c r="B127" i="18"/>
  <c r="OL6" i="38" l="1"/>
  <c r="E137" i="27"/>
  <c r="F137" i="27" s="1"/>
  <c r="E186" i="1"/>
  <c r="DB6" i="38" s="1"/>
  <c r="C10" i="8"/>
  <c r="C144" i="1" s="1"/>
  <c r="IV6" i="38" s="1"/>
  <c r="C1" i="8"/>
  <c r="C137" i="1" s="1"/>
  <c r="C57" i="1" s="1"/>
  <c r="GG6" i="38" s="1"/>
  <c r="C1" i="30"/>
  <c r="C84" i="1" s="1"/>
  <c r="C50" i="1" s="1"/>
  <c r="FZ6" i="38" s="1"/>
  <c r="C179" i="1"/>
  <c r="C61" i="1" s="1"/>
  <c r="GK6" i="38" s="1"/>
  <c r="C43" i="1"/>
  <c r="C37" i="1"/>
  <c r="EL6" i="38" s="1"/>
  <c r="D22" i="20"/>
  <c r="C3" i="8"/>
  <c r="C138" i="1" s="1"/>
  <c r="IP6" i="38" s="1"/>
  <c r="C140" i="1"/>
  <c r="IR6" i="38" s="1"/>
  <c r="E136" i="27"/>
  <c r="F136" i="27" s="1"/>
  <c r="E159" i="27" s="1"/>
  <c r="C44" i="1" s="1"/>
  <c r="OK6" i="38"/>
  <c r="KF6" i="38"/>
  <c r="E10" i="27"/>
  <c r="F10" i="27" s="1"/>
  <c r="E116" i="27" s="1"/>
  <c r="C42" i="1" s="1"/>
  <c r="E203" i="1"/>
  <c r="DS6" i="38" s="1"/>
  <c r="C87" i="8"/>
  <c r="C147" i="1" s="1"/>
  <c r="IY6" i="38" s="1"/>
  <c r="C111" i="1"/>
  <c r="HW6" i="38" s="1"/>
  <c r="C16" i="18"/>
  <c r="C109" i="1" s="1"/>
  <c r="HU6" i="38" s="1"/>
  <c r="FX6" i="38"/>
  <c r="C47" i="1" l="1"/>
  <c r="FW6" i="38" s="1"/>
  <c r="FV6" i="38"/>
  <c r="FT6" i="38"/>
</calcChain>
</file>

<file path=xl/sharedStrings.xml><?xml version="1.0" encoding="utf-8"?>
<sst xmlns="http://schemas.openxmlformats.org/spreadsheetml/2006/main" count="9898" uniqueCount="7274">
  <si>
    <t>↓</t>
  </si>
  <si>
    <t>5- Other</t>
  </si>
  <si>
    <t>Select the number of the desired language in cell A3: 1- English, 2- French, 3- Spanish, 4-Portuguese, 5-Other</t>
  </si>
  <si>
    <t>Sélectionnez le numéro de la langue désirée dans la case A3: 1- anglais, 2- français, 3- espagnol, 4-portugais, 5-autre</t>
  </si>
  <si>
    <t>Seleccione el número del idioma deseado en la celda A3: 1- inglés, 2- francés, 3- español, 4-portugués, 5-otro</t>
  </si>
  <si>
    <t>Selecione o número do idioma desejado na célula A3: 1- Inglês, 2-Francês, 3-Espanhol, 4-Português, 5-outros</t>
  </si>
  <si>
    <t>1-English</t>
  </si>
  <si>
    <t>1-anglais</t>
  </si>
  <si>
    <t>1-inglés</t>
  </si>
  <si>
    <t>1-Inglês</t>
  </si>
  <si>
    <t>2-French</t>
  </si>
  <si>
    <t>2- français</t>
  </si>
  <si>
    <t>2-francés</t>
  </si>
  <si>
    <t>2-Francês</t>
  </si>
  <si>
    <t>3-Spanish</t>
  </si>
  <si>
    <t>3- espagnol</t>
  </si>
  <si>
    <t>3-español</t>
  </si>
  <si>
    <t>3-Espanhol</t>
  </si>
  <si>
    <t>4-Portuguese</t>
  </si>
  <si>
    <t>4- portugais</t>
  </si>
  <si>
    <t>4-portugues</t>
  </si>
  <si>
    <t>4-Português</t>
  </si>
  <si>
    <t>Laboratory Assessment</t>
  </si>
  <si>
    <t>Évaluation d'un laboratoire</t>
  </si>
  <si>
    <t>Evaluación de laboratorio</t>
  </si>
  <si>
    <t>Avaliação Laboratorial</t>
  </si>
  <si>
    <t xml:space="preserve">of </t>
  </si>
  <si>
    <t>pour la</t>
  </si>
  <si>
    <t>de</t>
  </si>
  <si>
    <t>da</t>
  </si>
  <si>
    <t>Antibiotic Resistance</t>
  </si>
  <si>
    <t>Résistance aux Antibiotiques</t>
  </si>
  <si>
    <t>Resistencia a los Antibióticos</t>
  </si>
  <si>
    <t>Capacidade de Detectar a</t>
  </si>
  <si>
    <t>Testing Capacity</t>
  </si>
  <si>
    <t>Capacités d'analyse</t>
  </si>
  <si>
    <t>Capacidad para Detectar</t>
  </si>
  <si>
    <t xml:space="preserve">Resistência aos Antibióticos </t>
  </si>
  <si>
    <t>LAARC</t>
  </si>
  <si>
    <t>Version 2.0 - August 2020</t>
  </si>
  <si>
    <t>Version 2.0 - Août 2020</t>
  </si>
  <si>
    <t>Versión 2.0 - Agosto 2020</t>
  </si>
  <si>
    <t>Versão 2.0 - Agosto 2020</t>
  </si>
  <si>
    <t>Developed by CDC in collaboration with IQLS</t>
  </si>
  <si>
    <t>Développé par CDC en collaboration avec IQLS</t>
  </si>
  <si>
    <t>Desarrollado por el CDC en colaboración con IQLS</t>
  </si>
  <si>
    <t>Desenvolvido pelo CDC em colaboração com o IQLS</t>
  </si>
  <si>
    <t>Please register your use of the Laboratory Assessment of Antibiotic Resistance Testing Capacity (LAARC) Tool.</t>
  </si>
  <si>
    <t>Veuillez enregistrer votre utilisation de l'outil d'évaluation en laboratoire de la capacités d'analyse de résistance aux antibiotiques (LAARC).</t>
  </si>
  <si>
    <t>Registre su uso de la herramienta de evaluación de laboratorio de la capacidad para detectar de resistencia a los antibióticos (LAARC).</t>
  </si>
  <si>
    <t>Registre seu uso da Ferramenta de Avaliação de Laboratório de Capacidade de Detectar a Resistência a Antibióticos (LAARC).</t>
  </si>
  <si>
    <t>Registration is optional.</t>
  </si>
  <si>
    <t>L'inscription est facultative.</t>
  </si>
  <si>
    <t>El registro es opcional.</t>
  </si>
  <si>
    <t>O registro é opcional.</t>
  </si>
  <si>
    <t xml:space="preserve">If you register, CDC will notify you of updates and changes to the LAARC Tool. </t>
  </si>
  <si>
    <t>Si vous vous inscrivez, CDC vous informera des mises à jour et des modifications apportées à l'outil LAARC.</t>
  </si>
  <si>
    <t>Si se registra, los CDC le notificarán las actualizaciones y cambios a la herramienta LAARC.</t>
  </si>
  <si>
    <t>Se você se registrar, o CDC irá notificá-lo sobre atualizações e mudanças na ferramenta LAARC.</t>
  </si>
  <si>
    <t>In addition, CDC may request feedback to improve the tool or ask you to participate in research to better understand antimicrobial resistance laboratory findings from around the world. Sharing information is optional.</t>
  </si>
  <si>
    <t>De plus, les CDC peuvent demander des commentaires pour améliorer l'outil ou vous demander de participer à des recherches pour mieux comprendre les résultats des laboratoires de résistance aux antimicrobiens du monde entier. Le partage d'informations est facultatif.</t>
  </si>
  <si>
    <t>Además, los CDC pueden solicitar comentarios para mejorar la herramienta o pedirle que participe en una investigación para comprender mejor los hallazgos de laboratorio de resistencia a los antimicrobianos de todo el mundo. Compartir información es opcional.</t>
  </si>
  <si>
    <t>Além disso, o CDC pode solicitar feedback para melhorar a ferramenta ou pedir que você participe de pesquisas para entender melhor os achados laboratoriais de resistência antimicrobiana de todo o mundo. O compartilhamento de informações é opcional.</t>
  </si>
  <si>
    <t>LAARC Tool Registration (optional) (https://www.cdc.gov/drugresistance/intl-activities/registration.html)</t>
  </si>
  <si>
    <t>Enregistrement de l'outil LAARC (facultatif) (https://www.cdc.gov/drugresistance/intl-activities/registration.html)</t>
  </si>
  <si>
    <t>Registro de la herramienta LAARC (opcional) (https://www.cdc.gov/drugresistance/intl-activities/registration.html)</t>
  </si>
  <si>
    <t xml:space="preserve">Registro da ferramenta LAARC (opcional) (https://www.cdc.gov/drugresistance/intl-activities/registration.html) </t>
  </si>
  <si>
    <t>Tables for use with AST Expert Rules Module, questions 12.7 - 12.25</t>
  </si>
  <si>
    <t>Tableaux à utiliser avec le module de règles expert du TSA, questions 12.7 à 12.25</t>
  </si>
  <si>
    <t>Tablas para usar en el Módulo de Reglas de Experto para PSA, preguntas 12.7 - 12.25</t>
  </si>
  <si>
    <t>Tabelas para utilizar  no Módulo de Regras do Especialista para TSA, perguntas 12.7 - 12.25</t>
  </si>
  <si>
    <t>Current CLSI and EUCAST breakpoints for Salmonella spp, Enterobacterales, Acinetobacter spp, and Pseudomonas aeruginosa</t>
  </si>
  <si>
    <t>Seuils de détection CLSI et EUCAST pour Salmonella spp, Enterobacterales, Acinetobacter spp et Pseudomonas aeruginosa</t>
  </si>
  <si>
    <t>Puntos de corte actuales de CLSI y EUCAST para Salmonella spp, Enterobacterales, Acinetobacter spp y Pseudomonas aeruginosa</t>
  </si>
  <si>
    <t>Pontos de corte atuais do CLSI e EUCAST para Salmonella spp., Enterobacterales, Acinetobacter spp e Pseudomonas aeruginosa</t>
  </si>
  <si>
    <t>Figure for use with AST QC Module, questions 7.7 - 7.11</t>
  </si>
  <si>
    <t>Figure à utiliser avec le module du CQ du TSA, questions 7.7 à 7.11</t>
  </si>
  <si>
    <t>Figura para usar en el módulo de CC de las PSA, preguntas 7.7 - 7.11</t>
  </si>
  <si>
    <t>Figura para utilizar com o Módulo de CQ do TSA, perguntas 7.7-7.11</t>
  </si>
  <si>
    <t>Workflow for subculturing and using reference strains</t>
  </si>
  <si>
    <t>Procédure de repiquage et d'utilisation des souches de référence</t>
  </si>
  <si>
    <t>Flujo de trabajo para el subcultivo y el uso de cepas de referencia</t>
  </si>
  <si>
    <t>Fluxo de trabalho para a subcultura e uso de cepas de referência</t>
  </si>
  <si>
    <t>as described in CLSI M02, Subchapter 4.4</t>
  </si>
  <si>
    <t>comme décrit dans le guide CLSI M02, chapitre 4.4</t>
  </si>
  <si>
    <t>como se describe en CLSI M02, subcapítulo 4.4</t>
  </si>
  <si>
    <t>como descrito no CLSI M02, Subcapítulo 4.4</t>
  </si>
  <si>
    <t>"F" indicates the frozen or freeze-dried state of the stock culture</t>
  </si>
  <si>
    <t>"F" indique l'état de la souche de départ, congelée ou lyophilisée</t>
  </si>
  <si>
    <t>“F” indica el estado congelado o liofilizado de los cultivos de reserva</t>
  </si>
  <si>
    <t>"F" indica o estado congelado ou liofilizado da cultura de estoque</t>
  </si>
  <si>
    <t>"1" indicates the first passage</t>
  </si>
  <si>
    <t>"1" indique le premier repiquage</t>
  </si>
  <si>
    <t>“1” indica el primer pase</t>
  </si>
  <si>
    <t>"1" indica a primeira passagem</t>
  </si>
  <si>
    <t>"2" indicates the second passage</t>
  </si>
  <si>
    <t>"2" indique le deuxième repiquage</t>
  </si>
  <si>
    <t>“2” indica el segundo pase</t>
  </si>
  <si>
    <t>"2" indica a segunda passagem</t>
  </si>
  <si>
    <t>"3" indicates the third passage from stock culture</t>
  </si>
  <si>
    <t>"3" indique le troisième repiquage deuis la souche mère</t>
  </si>
  <si>
    <t>“3” indica el tercer pase a partir del cultivo de reserva</t>
  </si>
  <si>
    <t>"3" indica a terceira passagem a partir da cultura de estoque</t>
  </si>
  <si>
    <t>Please use this Excel scoring tool in conjunction with the LAARC User Guide and Questionnaire, which includes the questions in a printable format. Available on the CDC website:</t>
  </si>
  <si>
    <t>Veuillez utiliser cet outil de notation Excel en conjonction avec le guide de l'utilisateur et le questionnaire LAARC, qui comprend les questions dans un format imprimable. Disponible sur le site Web du CDC:</t>
  </si>
  <si>
    <t>Utilice esta herramienta de puntuación de Excel junto con la Guía del usuario y el Cuestionario de LAARC, que incluye las preguntas en un formato imprimible. Disponible en el sitio web de los CDC:</t>
  </si>
  <si>
    <t>Use esta ferramenta de pontuação do Excel em conjunto com o Guia do usuário LAARC e o questionário, que inclui as perguntas em formato para impressão. Disponível no site do CDC:</t>
  </si>
  <si>
    <t>https://www.cdc.gov/drugresistance/intl-activities/laarc.html</t>
  </si>
  <si>
    <t>Changing language can also change the row height, making it difficult to read the information in the blue and red tabs.</t>
  </si>
  <si>
    <t>Le changement de langue peut également modifier la hauteur de la ligne, ce qui rend difficile la lecture des informations dans les onglets bleu et rouge.</t>
  </si>
  <si>
    <t>El cambio de idioma también puede cambiar la altura de la fila, lo que dificulta la lectura de la información en las pestañas azul y roja.</t>
  </si>
  <si>
    <t>Alterar o idioma também pode alterar a altura da linha, dificultando a leitura das informações nas guias azul e vermelha.</t>
  </si>
  <si>
    <t>To correct this, click on the grey triangle in the upper left-hand corner between row 1 and column A, then select Home, Cells, Format, Autofit Row Height</t>
  </si>
  <si>
    <t>Pour corriger cela, cliquez sur le triangle gris dans le coin supérieur gauche entre la ligne 1 et la colonne A, puis sélectionnez Home, Cells, Format, Autofit Row Height</t>
  </si>
  <si>
    <t>Para corregir esto, haga clic en el triángulo gris en la esquina superior izquierda entre la fila 1 y la columna A, luego seleccione Inicio, Celdas, Formato, Ajuste automático de altura de fila</t>
  </si>
  <si>
    <t>Para corrigir isso, clique no triângulo cinza no canto superior esquerdo entre a linha 1 e a coluna A e selecione Início, Células, Formato, Ajustar automaticamente a altura da linha</t>
  </si>
  <si>
    <t>Repeat this action in each blue and red tab.</t>
  </si>
  <si>
    <t>Répétez cette action dans chaque onglet bleu et rouge.</t>
  </si>
  <si>
    <t>Repita esta acción en cada pestaña azul y roja.</t>
  </si>
  <si>
    <t>Repita esta ação em cada guia azul e vermelha.</t>
  </si>
  <si>
    <t>Figure for use with Facility Module, question 1.13</t>
  </si>
  <si>
    <t>Figure à utiliser avec le module installation, question 1.13</t>
  </si>
  <si>
    <t>Figura para usar en el Módulo de "Instalaciones", pregunta 1.13</t>
  </si>
  <si>
    <t>Figura para utilizar no  Módulo de " Instalações", pergunta 1.13</t>
  </si>
  <si>
    <t>McFarland QC Standards in front of a Wickerham card</t>
  </si>
  <si>
    <t>Standardisation des McFarland avec une carte Wickerham</t>
  </si>
  <si>
    <t>Estándares de McFarland frente a una tarjeta Wickerham</t>
  </si>
  <si>
    <t>Padrões de CQ de McFarland frente a um cartão Wickerham</t>
  </si>
  <si>
    <t>Laboratory Assessment of Antibiotic Resistance Testing Capacity</t>
  </si>
  <si>
    <t>Évaluation de la capacité des laboratoires à tester l'antibiorésistance</t>
  </si>
  <si>
    <t>Evaluación de las Capacidad del Laboratorio para detectar Resistencia a los Antibióticos</t>
  </si>
  <si>
    <t xml:space="preserve">Avaliação da Capacidade do Laboratório para Detectar a  Resistência aos Antibióticos </t>
  </si>
  <si>
    <t>Updated August 2019 - Excel adaptation by IQLS August 2019</t>
  </si>
  <si>
    <t>Mise à jour en août 2019 - Adaptation Excel par IQLS en août 2019</t>
  </si>
  <si>
    <t>Actualizado en agosto de 2019 - Adaptación en Excel realizada por IQLS, Agosto de 2019</t>
  </si>
  <si>
    <t>Atualizado em Agosto 2019 - Adaptação em Excel realizada pelo IQLS, em Agosto 2019</t>
  </si>
  <si>
    <t xml:space="preserve">Laboratory name </t>
  </si>
  <si>
    <t>Nom du laboratoire</t>
  </si>
  <si>
    <t>Nombre del laboratorio</t>
  </si>
  <si>
    <t xml:space="preserve">Nome do Laboratório </t>
  </si>
  <si>
    <t>Laboratory address</t>
  </si>
  <si>
    <t>Adresse du laboratoire</t>
  </si>
  <si>
    <t>Dirección del laboratorio</t>
  </si>
  <si>
    <t>Endereço do Laboratório</t>
  </si>
  <si>
    <t>City/Province/District</t>
  </si>
  <si>
    <t>Ville / Province / District</t>
  </si>
  <si>
    <t>Ciudad / Provincia / Distrito</t>
  </si>
  <si>
    <t>Cidade / Província / Distrito</t>
  </si>
  <si>
    <t>Country</t>
  </si>
  <si>
    <t>Pays</t>
  </si>
  <si>
    <t>País</t>
  </si>
  <si>
    <t>Date of Assessment</t>
  </si>
  <si>
    <t>Date d'évaluation</t>
  </si>
  <si>
    <t>Fecha de evaluación</t>
  </si>
  <si>
    <t>Data da Avaliação</t>
  </si>
  <si>
    <t>TEST MENU AND ANNUAL CULTURE WORKLOAD</t>
  </si>
  <si>
    <t>CATALOGUE D'ANALYSE ET CHARGE DE TRAVAIL ANNUELLE POUR LA CULTURE BACTERIENNE</t>
  </si>
  <si>
    <t xml:space="preserve">LISTADO DE PRUEBAS DEL LABORATORIO Y CARGA DE TRABAJO ANUAL DE CULTIVOS </t>
  </si>
  <si>
    <t>LISTA DE TESTES DO LABORATORIAIS E CARGA DE TRABALHO ANUAL DE CULTURAS</t>
  </si>
  <si>
    <t>Blood Cultures</t>
  </si>
  <si>
    <t>Hémoculture</t>
  </si>
  <si>
    <t>Hemocultivos</t>
  </si>
  <si>
    <t>Hemoculturas</t>
  </si>
  <si>
    <t>Urine Cultures</t>
  </si>
  <si>
    <t>Cultures d'urine</t>
  </si>
  <si>
    <t>Urocultivos</t>
  </si>
  <si>
    <t>Uroculturas</t>
  </si>
  <si>
    <t>Stool Cultures</t>
  </si>
  <si>
    <t>Cultures de selles/coproculture</t>
  </si>
  <si>
    <t>Coprocultivos</t>
  </si>
  <si>
    <t>Coproculturas</t>
  </si>
  <si>
    <t>Respiratory Cultures (not TB)</t>
  </si>
  <si>
    <t>Cultures respiratoires (non tuberculeuses)</t>
  </si>
  <si>
    <t>Cultivos respiratorios (no TB)</t>
  </si>
  <si>
    <t>Culturas respiratórias (não-TB)</t>
  </si>
  <si>
    <t>Wound Cultures</t>
  </si>
  <si>
    <t>Cultures de prélèvements de plaies</t>
  </si>
  <si>
    <t>Cultivos de heridas</t>
  </si>
  <si>
    <t>Culturas de Ferida</t>
  </si>
  <si>
    <t>Cerebrospinal Fluid Cultures</t>
  </si>
  <si>
    <t>Cultures de liquide céphalo-rachidien (LCR)</t>
  </si>
  <si>
    <t>Cultivos de líquido cefalorraquídeo</t>
  </si>
  <si>
    <t>Culturas de Líquido Cefalorraquidiano</t>
  </si>
  <si>
    <t>Sterile Body Fluid Cultures</t>
  </si>
  <si>
    <t>Cultures de liquides biologiques stériles</t>
  </si>
  <si>
    <t>Cultivos de fluidos corporales estériles</t>
  </si>
  <si>
    <t>Culturas de Fluidos Corporais Estéreis</t>
  </si>
  <si>
    <t>Genital Cultures</t>
  </si>
  <si>
    <t>Culture de prélèvements génitaux</t>
  </si>
  <si>
    <t>Cultivos genitales</t>
  </si>
  <si>
    <t>Culturas Genitais</t>
  </si>
  <si>
    <t>Anaerobic Cultures</t>
  </si>
  <si>
    <t>Cultures anaérobies</t>
  </si>
  <si>
    <t>Cultivos de anaerobios</t>
  </si>
  <si>
    <t>Culturas de Anaeróbios</t>
  </si>
  <si>
    <t>Fungal Cultures (Yeast)</t>
  </si>
  <si>
    <t>Cultures fongiques (levure)</t>
  </si>
  <si>
    <t>Cultivos de hongos (levadura)</t>
  </si>
  <si>
    <t>Culturas de Fungos (Leveduras)</t>
  </si>
  <si>
    <t>Fungal Cultures (Mold)</t>
  </si>
  <si>
    <t>Cultures fongiques (moisissures)</t>
  </si>
  <si>
    <t>Cultivos de hongos (moho)</t>
  </si>
  <si>
    <t>Culturas de Fungos (Mofo)</t>
  </si>
  <si>
    <t>MRSA screen (nares, axilla, groin)</t>
  </si>
  <si>
    <t>Dépistage SARM (narines, aisselles, aine)</t>
  </si>
  <si>
    <t>Búsqueda de SARM (narinas, axilas, ingles)</t>
  </si>
  <si>
    <t>Triagem para MRSA (narinas, axila, virilha)</t>
  </si>
  <si>
    <t>VRE screen (rectal swab)</t>
  </si>
  <si>
    <t>Dépistage EVR (écouvillonnage rectal)</t>
  </si>
  <si>
    <t>Búsqueda de ERV (hisopo rectal)</t>
  </si>
  <si>
    <t>Triagem para VRE (swab retal)</t>
  </si>
  <si>
    <t>CRE screen (rectal swab)</t>
  </si>
  <si>
    <t>Dépistage ECR (écouvillonnage rectal)</t>
  </si>
  <si>
    <t>Búsqueda de ERC (hisopo rectal)</t>
  </si>
  <si>
    <t>Triagem para CRE (swab retal)</t>
  </si>
  <si>
    <t>ID and/or AST of isolates referred from other laboratories</t>
  </si>
  <si>
    <t>Identification et / ou TSA des souches provenant d'autres laboratoires</t>
  </si>
  <si>
    <t>Identificación y /o PSA de aislados enviados por otros laboratorios</t>
  </si>
  <si>
    <t>Identificação e / ou TSA dos isolados enviados  por outros laboratórios</t>
  </si>
  <si>
    <t xml:space="preserve">Other cultures of local imoprtance </t>
  </si>
  <si>
    <t>Autres cultures localement importantes</t>
  </si>
  <si>
    <t>Otras cultivos de importancia local</t>
  </si>
  <si>
    <t xml:space="preserve">Outras culturas de importância local </t>
  </si>
  <si>
    <t>ANNUAL AST WORKLOAD</t>
  </si>
  <si>
    <t>CHARGE DE TRAVAIL ANNUEL DU TSA</t>
  </si>
  <si>
    <t>CARGA DE TRABAJO ANUAL DE LAS PSA</t>
  </si>
  <si>
    <t>CARGA DE TRABALHO ANUAL DE TSA</t>
  </si>
  <si>
    <t>Automated AST instrument</t>
  </si>
  <si>
    <t>Automates disponibles pour le TSA</t>
  </si>
  <si>
    <t>Instrumento automatizado de PSA</t>
  </si>
  <si>
    <t>Instrumento automatizado para TSA</t>
  </si>
  <si>
    <t>Disk diffusion</t>
  </si>
  <si>
    <t>Diffusion en disque</t>
  </si>
  <si>
    <t>Difusión con discos</t>
  </si>
  <si>
    <t xml:space="preserve">Disco-difusão </t>
  </si>
  <si>
    <t>Gradient Strip (e.g., Etest/Liofilchem)</t>
  </si>
  <si>
    <t>Bandelette graduée (par exemple Etest / Liofilchem)</t>
  </si>
  <si>
    <t>Tira de gradiente (Ej., Etest / Liofilchem)</t>
  </si>
  <si>
    <t>Tira de Gradiente (ex.: Etest / Liofilchem)</t>
  </si>
  <si>
    <t>Broth microdilution (96-well tray)</t>
  </si>
  <si>
    <t>Microdilution en milieu liquide (plaque à 96 puits)</t>
  </si>
  <si>
    <t>Microdilución en caldo (placa de 96 pocillos)</t>
  </si>
  <si>
    <t>Microdiluição em caldo (placa de 96 poços)</t>
  </si>
  <si>
    <t>Broth macrodilultion (tube method)</t>
  </si>
  <si>
    <t>Macrodilultion en milieu liquide (méthode en tube)</t>
  </si>
  <si>
    <t>Macrodilución en caldo (método en tubo)</t>
  </si>
  <si>
    <t>Macrodiluição em caldo (método do tubo)</t>
  </si>
  <si>
    <t>Agar dilution</t>
  </si>
  <si>
    <t>Dilution en gélose</t>
  </si>
  <si>
    <t>Dilución de agar</t>
  </si>
  <si>
    <t>Diluição em ágar</t>
  </si>
  <si>
    <t>STAFFING</t>
  </si>
  <si>
    <t>RECRUTEMENT</t>
  </si>
  <si>
    <t>PERSONAL</t>
  </si>
  <si>
    <t>PESSOAL</t>
  </si>
  <si>
    <t>Advanced degree in Med. Microbiology/Med. Lab. (PhD, MD)</t>
  </si>
  <si>
    <t>Diplôme supérieur en microbiologie médicale / médecine de laboratoire. (PhD, MD)</t>
  </si>
  <si>
    <t>Título de Medicina especialidad Microbiología/Análisis Clínicos (PhD, MD)</t>
  </si>
  <si>
    <t>Título de Doutor em Microbiologia Médica / Análises Clínicas (PhD, MD)</t>
  </si>
  <si>
    <t>Advanced degree, other concentration (PhD, MD)</t>
  </si>
  <si>
    <t>Diplôme d'études supérieures, autre domaine (PhD, MD)</t>
  </si>
  <si>
    <t>Título de Medicina, otra especialidad (PhD, MD)</t>
  </si>
  <si>
    <t>Título de Doutor, outra especialidade (PhD, MD)</t>
  </si>
  <si>
    <t>Postgraduate Master's degree in Microbiology or Med. Lab. Sciences</t>
  </si>
  <si>
    <t>Diplôme en microbiologie médicale / médecine de laboratoire</t>
  </si>
  <si>
    <t>Máster/postgrado Universitario en Microbiología o Análisis Clínicos</t>
  </si>
  <si>
    <t>Pós-graduação/ Mestrado em Microbiologia ou Análises Clínicas</t>
  </si>
  <si>
    <t>Postgraduate Master's degree, other concentration</t>
  </si>
  <si>
    <t>Diplôme, autre domaine</t>
  </si>
  <si>
    <t>Máster/postgrado Universitario, otra especialidad</t>
  </si>
  <si>
    <t>Pós-graduação/ Mestrado, outra especialidade</t>
  </si>
  <si>
    <t>Grad. Bachelor's degree in Microbiology or Med. Lab. Sciences</t>
  </si>
  <si>
    <t>Licence en microbiologie médicale / médecine de laboratoire</t>
  </si>
  <si>
    <t>Grado/Licenciatura en Microbiología o Análisis Clínicos</t>
  </si>
  <si>
    <t>Grad. Bacharel em Microbiologia ou Análises Clínicas</t>
  </si>
  <si>
    <t>Graduate Bachelor's degree, other concentration</t>
  </si>
  <si>
    <t>Licence, autre domaine</t>
  </si>
  <si>
    <t>Grado/Licenciatura, otra especialidad</t>
  </si>
  <si>
    <t>Grad. Bacharel, outra especialidade</t>
  </si>
  <si>
    <t>Undergraduate Certificate/Diploma in Microbiology or Med. Lab. Sciences</t>
  </si>
  <si>
    <t>Certificat ou diplôme de premier cycle en microbiologie médicale / médecine de laboratoire</t>
  </si>
  <si>
    <t>Certificado / Diploma de pregrado en Microbiología o Análisis Clínicos</t>
  </si>
  <si>
    <t>Certificado / Diploma em Microbiologia  ou Análises Clínicas</t>
  </si>
  <si>
    <t>Undergraduate Certificate or Diploma, other concentration</t>
  </si>
  <si>
    <t>Certificat ou diplôme de premier cycle, autre domaine</t>
  </si>
  <si>
    <t>Certificado / Diploma de pregrado, otra especialización</t>
  </si>
  <si>
    <t>Certificado ou Diploma, outra especialidade</t>
  </si>
  <si>
    <t>High school/Secondary school diploma</t>
  </si>
  <si>
    <t>Diplôme d'études secondaires</t>
  </si>
  <si>
    <t>Diploma de secundaria /bachillerato</t>
  </si>
  <si>
    <t>Ensino médio / Diploma do ensino secundário</t>
  </si>
  <si>
    <t>On-the-job training only</t>
  </si>
  <si>
    <t>Formation au sein du laboratoire uniquement</t>
  </si>
  <si>
    <t>Solo experiencia profesional</t>
  </si>
  <si>
    <t xml:space="preserve">Somente experiência profissional </t>
  </si>
  <si>
    <t>Other (specify in comments)</t>
  </si>
  <si>
    <t>Autre (préciser dans les commentaires)</t>
  </si>
  <si>
    <t>Otro (especificar en comentarios)</t>
  </si>
  <si>
    <t>Outro (especificar nos comentários)</t>
  </si>
  <si>
    <t>Proportion of staff with Med Micro or Med Lab Training</t>
  </si>
  <si>
    <t>Proportion de personnel ayant suivi une formation en microbiologie médicale  ou médecine de laboratoire</t>
  </si>
  <si>
    <t>Proporción de personal con formación en Medicina especialidad Microbiología o Análisis Clínicos</t>
  </si>
  <si>
    <t>Proporção de pessoal com Doutorado em Microbiologia Médica ou Análises Clínicas</t>
  </si>
  <si>
    <t>Proportion of staff with Graduate Bachelor's Degree or more</t>
  </si>
  <si>
    <t>Proportion de personnel ayant un diplôme ou un titre plus élevé</t>
  </si>
  <si>
    <t>Proporción de personal con grado/licenciatura o superior</t>
  </si>
  <si>
    <t>Proporção de pessoal com Bacharelado ou superior</t>
  </si>
  <si>
    <t>Total number of staff members</t>
  </si>
  <si>
    <t>Nombre total de membres du personnel</t>
  </si>
  <si>
    <t>Número total de empleados</t>
  </si>
  <si>
    <t>Número total de membros da equipe</t>
  </si>
  <si>
    <t>NUMBER OF FLAGS</t>
  </si>
  <si>
    <t>NOMBRE D'ALERTE</t>
  </si>
  <si>
    <t>NÚMERO DE ALERTAS</t>
  </si>
  <si>
    <t>Red Flags</t>
  </si>
  <si>
    <t>Drapeaux rouges</t>
  </si>
  <si>
    <t>alertas rojas</t>
  </si>
  <si>
    <t>Alertas Vermelhos</t>
  </si>
  <si>
    <t>Training Opportunities</t>
  </si>
  <si>
    <t>Opportunités de formation</t>
  </si>
  <si>
    <t>Oportunidades de formación</t>
  </si>
  <si>
    <t>Oportunidades de Treinamento</t>
  </si>
  <si>
    <t>System Flags</t>
  </si>
  <si>
    <t>Alertes système</t>
  </si>
  <si>
    <t>Alertas del sistema</t>
  </si>
  <si>
    <t>Alertas do sistema</t>
  </si>
  <si>
    <t>Overall Score and Module Score Summary</t>
  </si>
  <si>
    <t>Scores global et de section</t>
  </si>
  <si>
    <t>Puntuación General y de la Sección</t>
  </si>
  <si>
    <t>Pontuação Geral e da Seção</t>
  </si>
  <si>
    <t>FACILITY</t>
  </si>
  <si>
    <t>LOCAUX</t>
  </si>
  <si>
    <t xml:space="preserve">INSTALACIONES </t>
  </si>
  <si>
    <t>INSTALAÇÕES</t>
  </si>
  <si>
    <t>2- LAB INFORMATION SYSTEM (Excluded from overall score)</t>
  </si>
  <si>
    <t>2- SYSTÈME D'INFORMATION DE LABORATOIRE (Exclus de la note globale)</t>
  </si>
  <si>
    <t>2- SISTEMA DE INFORMACIÓN DE LABORATORIO (Excluido de la puntuación total)</t>
  </si>
  <si>
    <t>2- SISTEMA DE INFORMAÇÃO LABORATORIAL  (Excluído da pontuação total)</t>
  </si>
  <si>
    <t>DATA MANAGEMENT</t>
  </si>
  <si>
    <t>GESTION DE DONNÉES</t>
  </si>
  <si>
    <t>GESTIÓN DE DATOS</t>
  </si>
  <si>
    <t>GESTÃO DE DADOS</t>
  </si>
  <si>
    <t>QUALITY ASSURANCE</t>
  </si>
  <si>
    <t>ASSURANCE QUALITÉ</t>
  </si>
  <si>
    <t>GARANTÍA DE CALIDAD</t>
  </si>
  <si>
    <t>GARANTIA DA QUALIDADE</t>
  </si>
  <si>
    <t>MEDIA PREPARATION AND QC</t>
  </si>
  <si>
    <t>PREPARATION DES MILIEUX ET CQ</t>
  </si>
  <si>
    <t>PREPARACIÓN DE MEDIOS Y CONTROL DE CALIDAD</t>
  </si>
  <si>
    <t>PREPARAÇÃO DE MEIOS E CONTROLE DE QUALIDADE</t>
  </si>
  <si>
    <t>ID QC</t>
  </si>
  <si>
    <t>CQ DE L'IDENTIFICATION BACTERIENNE</t>
  </si>
  <si>
    <t>CC DE LA ID</t>
  </si>
  <si>
    <t xml:space="preserve">CQ DA ID </t>
  </si>
  <si>
    <t>AST QC</t>
  </si>
  <si>
    <t xml:space="preserve">CQ DU TSA </t>
  </si>
  <si>
    <t>CC DE PSA</t>
  </si>
  <si>
    <t xml:space="preserve">CQ DO TSA </t>
  </si>
  <si>
    <t>SPECIMEN COLLECTION, TRANSPORT &amp; MANAGEMENT</t>
  </si>
  <si>
    <t>PRELEVEMENT, TRANSPORT ET GESTION DES ECHANTILLONS</t>
  </si>
  <si>
    <t>RECOGIDA, TRANSPORTE Y GESTIÓN DE MUESTRAS</t>
  </si>
  <si>
    <t>COLETA, TRANSPORTE E GESTÃO DE AMOSTRAS</t>
  </si>
  <si>
    <t>PROCESSING</t>
  </si>
  <si>
    <t>PREPARATION</t>
  </si>
  <si>
    <t>PROCESAMIENTO</t>
  </si>
  <si>
    <t>PROCESSAMENTO</t>
  </si>
  <si>
    <t>IDENTIFICATION</t>
  </si>
  <si>
    <t>IDENTIFICACIÓN</t>
  </si>
  <si>
    <t>IDENTIFICAÇÃO</t>
  </si>
  <si>
    <t>BASIC AST</t>
  </si>
  <si>
    <t>TSA BASIQUE</t>
  </si>
  <si>
    <t>ASPECTOS BÁSICOS DE PSA</t>
  </si>
  <si>
    <t xml:space="preserve">ASPECTOS BÁSICOS DO TSA </t>
  </si>
  <si>
    <t>AST EXPERT RULES</t>
  </si>
  <si>
    <t>RÈGLES D'EXPERTISE POUR LE TSA</t>
  </si>
  <si>
    <t>REGLAS DE EXPERTO PARA PSA</t>
  </si>
  <si>
    <t>REGRAS DO ESPECIALISTA PARA TSA</t>
  </si>
  <si>
    <t>AST PANELS, POLICY AND ANALYSIS</t>
  </si>
  <si>
    <t>PANELS, STRATEGIE ET ANALYSE DES TSA</t>
  </si>
  <si>
    <t>POLÍTICAS Y ANÁLISIS DE PANELES DE PSA</t>
  </si>
  <si>
    <t>POLITICA E ANÁLISE DE PAINÉIS DE TSA</t>
  </si>
  <si>
    <t xml:space="preserve">SAFETY </t>
  </si>
  <si>
    <t>SÉCURITÉ</t>
  </si>
  <si>
    <t>SEGURIDAD</t>
  </si>
  <si>
    <t xml:space="preserve">SEGURANÇA </t>
  </si>
  <si>
    <t>1- FACILITY</t>
  </si>
  <si>
    <t>1- LOCAUX</t>
  </si>
  <si>
    <t>1- INSTALACIONES</t>
  </si>
  <si>
    <t>1- INSTALAÇÕES</t>
  </si>
  <si>
    <t>LABORATORY FACILITY</t>
  </si>
  <si>
    <t>BÂTIMENT DU LABORATOIRE</t>
  </si>
  <si>
    <t>INSTALACIONES DEL LABORATORIO</t>
  </si>
  <si>
    <t>INSTALAÇÕES DO LABORATÓRIO</t>
  </si>
  <si>
    <t>GENERAL EQUIPMENT AVAILABILITY</t>
  </si>
  <si>
    <t>ÉQUIPEMENT DISPONIBLE</t>
  </si>
  <si>
    <t>DISPONIBILIDAD DE EQUIPAMIENTO BÁSICO</t>
  </si>
  <si>
    <t>DISPONIBILIDADE DE EQUIPAMENTOS BÁSICOS</t>
  </si>
  <si>
    <t>MEDIA PREPARATION EQUIPMENT AVAILABILITY</t>
  </si>
  <si>
    <t>DISPONIBILITÉ DES ÉQUIPEMENTS DE PRÉPARATION DES MILIEUX</t>
  </si>
  <si>
    <t>DISPONIBILIDAD DE EQUIPAMIENTO PARA LA PREPARACIÓN DE MEDIOS</t>
  </si>
  <si>
    <t xml:space="preserve">DISPONIBILIDADE DE EQUIPAMENTOS PARA A PREPARAÇÃO DE MEIOS </t>
  </si>
  <si>
    <t>EQUIPMENT CALIBRATION  RECORDS</t>
  </si>
  <si>
    <t>ENREGITREMENTS METROLOGIQUES</t>
  </si>
  <si>
    <t>REGISTROS DE CALIBRACIÓN DEL EQUIPAMIENTO</t>
  </si>
  <si>
    <t>REGISTROS DE CALIBRAÇÃO DE EQUIPAMENTOS</t>
  </si>
  <si>
    <t>THERMOMETERS</t>
  </si>
  <si>
    <t>THERMOMÈTRES</t>
  </si>
  <si>
    <t>TERMÓMETROS</t>
  </si>
  <si>
    <t>TERMÔMETROS</t>
  </si>
  <si>
    <t>TEMPERATURE AND ATMOSPHERE MONITORING</t>
  </si>
  <si>
    <t>SURVEILLANCE DE LA TEMPÉRATURE ET DE L'ATMOSPHÈRE</t>
  </si>
  <si>
    <t>VIGILANCIA DE TEMPERATURA Y ATMÓSFERA</t>
  </si>
  <si>
    <t>MONITORAMENTO DE TEMPERATURA E ATMOSFERA</t>
  </si>
  <si>
    <t>Temperature recorded</t>
  </si>
  <si>
    <t>Températures enregistrées</t>
  </si>
  <si>
    <t>Temperatura registrada</t>
  </si>
  <si>
    <t>Ranges defined</t>
  </si>
  <si>
    <t>Intervalles définis</t>
  </si>
  <si>
    <t>Rangos definidos</t>
  </si>
  <si>
    <t>Intervalos definidos</t>
  </si>
  <si>
    <t>AUTOCLAVE MANAGEMENT</t>
  </si>
  <si>
    <t>GESTION de L'AUTOCLAVE</t>
  </si>
  <si>
    <t>GESTIÓN DEL AUTOCLAVE</t>
  </si>
  <si>
    <t>GESTÃO DE AUTOCLAVE</t>
  </si>
  <si>
    <t>AUTOMATED EQUIPMENT AVAILABILITY AND MAINTENANCE</t>
  </si>
  <si>
    <t>DISPONIBILITÉ ET MAINTENANCE DES AUTOMATES</t>
  </si>
  <si>
    <t>DISPONIBILIDAD Y MANTENIMIENTO DE EQUIPOS AUTOMATIZADOS</t>
  </si>
  <si>
    <t xml:space="preserve">DISPONIBILIDADE E MANUTENÇÃO DE EQUIPAMENTOS AUTOMATIZADOS </t>
  </si>
  <si>
    <t>INVENTORY &amp; STOCK OUTS</t>
  </si>
  <si>
    <t>INVENTAIRE ET GESTION DES STOCKS</t>
  </si>
  <si>
    <t>INVENTARIOS Y RUPTURAS DE STOCK</t>
  </si>
  <si>
    <t>INVENTÁRIO &amp; RUPTURAS DE ESTOQUE</t>
  </si>
  <si>
    <t>2- LAB INFORMATION SYSTEM</t>
  </si>
  <si>
    <t>2- SYSTÈME D'INFORMATION DE LABORATOIRE</t>
  </si>
  <si>
    <t>2- SISTEMA DE INFORMACIÓN DE LABORATORIO</t>
  </si>
  <si>
    <t>2- SISTEMA DE INFORMAÇÃO LABORATORIAL</t>
  </si>
  <si>
    <t>DEMOGRAPHIC DATA FIELDS</t>
  </si>
  <si>
    <t>CHAMPS DE DONNÉES DÉMOGRAPHIQUES</t>
  </si>
  <si>
    <t>CAMPOS PARA DATOS DEMOGRÁFICOS</t>
  </si>
  <si>
    <t xml:space="preserve">CAMPOS PARA DADOS DEMOGRÁFICOS </t>
  </si>
  <si>
    <t>SPECIMEN DATA FIELDS</t>
  </si>
  <si>
    <t>CHAMPS DE DONNÉES DE L'ÉCHANTILLON</t>
  </si>
  <si>
    <t>CAMPOS PARA DATOS DE MUESTRAS</t>
  </si>
  <si>
    <t xml:space="preserve">CAMPOS PARA DADOS DE AMOSTRA </t>
  </si>
  <si>
    <t>CULTURE OBSERVATION DATA FIELDS</t>
  </si>
  <si>
    <t>CHAMPS DE DONNEES D'OBSERVATION POUR LA CULTURE</t>
  </si>
  <si>
    <t>CAMPOS DE DATOS DE OBSERVACIÓN DE CULTIVOS</t>
  </si>
  <si>
    <t>CAMPOS PARA DADOS DE OBSERVAÇÃO DAS CULTURAS</t>
  </si>
  <si>
    <t>AST DATA FIELDS</t>
  </si>
  <si>
    <t>Champs de données du TSA</t>
  </si>
  <si>
    <t>CAMPOS PARA DATOS DE LAS PSA</t>
  </si>
  <si>
    <t>CAMPOS PARA DADOS DO TSA</t>
  </si>
  <si>
    <t>REPORTS AND DATA TRANSFER CAPABILITIES</t>
  </si>
  <si>
    <t>RAPPORTS ET CAPACITÉS DE TRANSFERT DE DONNÉES</t>
  </si>
  <si>
    <t>CAPACIDADES DE NOTIFICACIÓN Y DE TRANSFERENCIA DE DATOS</t>
  </si>
  <si>
    <t>CAPACIDADES DE NOTIFICAÇÃO E DE TRANSFERÊNCIA DE DADOS</t>
  </si>
  <si>
    <t>INTERFACE CONNECTIVITY</t>
  </si>
  <si>
    <t>CONNECTIVITE DE L'INTERFACE</t>
  </si>
  <si>
    <t>CONECTIVIDAD DE INTERFAZ</t>
  </si>
  <si>
    <t>CONECTIVIDADE DE INTERFACE</t>
  </si>
  <si>
    <t>3- DATA MANAGEMENT</t>
  </si>
  <si>
    <t>3- GESTION DES DONNÉES</t>
  </si>
  <si>
    <t>3- GESTIÓN DE DATOS</t>
  </si>
  <si>
    <t xml:space="preserve">3- GESTÃO DE DADOS </t>
  </si>
  <si>
    <t>PATIENT AND SPECIMEN IDENTIFICATION</t>
  </si>
  <si>
    <t>IDENTIFICATION DU PATIENT ET DE L’ÉCHANTILLON</t>
  </si>
  <si>
    <t>IDENTIFICACIÓN DE PACIENTES Y MUESTRAS</t>
  </si>
  <si>
    <t>IDENTIFICAÇÃO DE PACIENTES E AMOSTRAS</t>
  </si>
  <si>
    <t>SPECIMEN REQUISITION FORM</t>
  </si>
  <si>
    <t>FORMULAIRE DE DEMANDE D'ÉCHANTILLON</t>
  </si>
  <si>
    <t>FORMULARIO DE SOLICITUD DE MUESTRA</t>
  </si>
  <si>
    <t xml:space="preserve">FORMULÁRIO DE SOLICITAÇÃO DA AMOSTRA </t>
  </si>
  <si>
    <t>ORDER ENTRY</t>
  </si>
  <si>
    <t>SAISIE DES DEMANDES</t>
  </si>
  <si>
    <t>RECEPCIÓN DE ENVÍOS</t>
  </si>
  <si>
    <t>RECEPÇÃO DE PEDIDOS</t>
  </si>
  <si>
    <t>CULTURE OBSERVATIONS</t>
  </si>
  <si>
    <t>OBSERVATIONS DE LA CULTURE</t>
  </si>
  <si>
    <t>OBSERVACIONES DEL CULTIVO</t>
  </si>
  <si>
    <t>OBSERVAÇÕES DA CULTURA</t>
  </si>
  <si>
    <t>AST RESULTS REPORTING</t>
  </si>
  <si>
    <t>RESULTAT ET COMPTE-RENDU DU TSA</t>
  </si>
  <si>
    <t>NOTIFICACIÓN DE RESULTADOS DE PSA</t>
  </si>
  <si>
    <t>NOTIFICAÇÃO DE RESULTADOS DO TSA</t>
  </si>
  <si>
    <t>DATA BACKUP &amp; SECURITY</t>
  </si>
  <si>
    <t>SAUVEGARDE DES DONNÉES ET SÉCURITÉ</t>
  </si>
  <si>
    <t>SEGURIDAD Y COPIA DE SEGURIDAD DE DATOS</t>
  </si>
  <si>
    <t xml:space="preserve">SEGURANÇA E  CÓPIA DE SEGURANÇA DOS DADOS </t>
  </si>
  <si>
    <t xml:space="preserve">AMR DATA SHARING </t>
  </si>
  <si>
    <t>PARTAGE DE DONNÉES DE RAM</t>
  </si>
  <si>
    <t>TRANSFERENCIA DE DATOS DE RAM</t>
  </si>
  <si>
    <t>TRANSFERÊNCIA DE DADOS DE RAM</t>
  </si>
  <si>
    <t>4- QUALITY ASSURANCE</t>
  </si>
  <si>
    <t>4- ASSURANCE QUALITE</t>
  </si>
  <si>
    <t>4- GARANTÍA DE CALIDAD</t>
  </si>
  <si>
    <t>4-GARANTIA DA QUALIDADE</t>
  </si>
  <si>
    <t>QUALITY STRUCTURE/BASICS</t>
  </si>
  <si>
    <t>STRUCTURE DU SYSTÈME QUALITÉ  / BASES</t>
  </si>
  <si>
    <t>ESTRUCTURA DE CALIDAD / BASICOS</t>
  </si>
  <si>
    <t>ESTRUTURA DE QUALIDADE / BÁSICO</t>
  </si>
  <si>
    <t>LABORATORY STAFF EDUCATION/TRAINING/COMPETENCY</t>
  </si>
  <si>
    <t>FORMATION / COMPÉTENCE DU PERSONNEL DE LABORATOIRE</t>
  </si>
  <si>
    <t>EDUCACIÓN / FORMACIÓN / COMPETENCIA DEL PERSONAL DE LABORATORIO</t>
  </si>
  <si>
    <t xml:space="preserve">EDUCAÇÃO/ TREINAMENTO/ COMPETÊNCIA DO PESSOAL DE LABORATÓRIO </t>
  </si>
  <si>
    <t>TOUBLESHOOTING, PROBLEM SOLVING, AND ROOT CAUSE ANALYSES</t>
  </si>
  <si>
    <t>DEPANNAGE, RÉSOLUTION DE PROBLÈMES ET ANALYSE DES CAUSES PROFONDES</t>
  </si>
  <si>
    <t>RESOLUCIÓN DE PROBLEMAS Y ANÁLISIS DE CAUSA-RAÍZ</t>
  </si>
  <si>
    <t xml:space="preserve">RESOLUÇÃO DE PROBLEMAS E ANÁLISE DE CAUSA RAIZ </t>
  </si>
  <si>
    <t>EXTERNAL QUALITY ASSESSMENT (EQA)</t>
  </si>
  <si>
    <t>ÉVALUATION EXTERNE DE LA QUALITÉ (EEQ)</t>
  </si>
  <si>
    <t>EVALUACIÓN EXTERNA DE CALIDAD (EQA)</t>
  </si>
  <si>
    <t>AVALIAÇÃO EXTERNA DE QUALIDADE (AEQ)</t>
  </si>
  <si>
    <t xml:space="preserve">5- QUALITY CONTROL - MEDIA </t>
  </si>
  <si>
    <t>5- CONTROLE QUALITE - MILIEUX</t>
  </si>
  <si>
    <t>5- CONTROL DE CALIDAD - MEDIOS</t>
  </si>
  <si>
    <t xml:space="preserve">5-CONTROLE DE QUALIDADE- MEIOS </t>
  </si>
  <si>
    <t>MEDIA PREPARATION SOPs</t>
  </si>
  <si>
    <t>POS de préparation des milieux</t>
  </si>
  <si>
    <t>POEs DE PREPARACIÓN DE MEDIOS</t>
  </si>
  <si>
    <t>POPs PARA PREPARAÇÃO DE MEIOS</t>
  </si>
  <si>
    <t xml:space="preserve">GENERAL MEDIA PREPARATION </t>
  </si>
  <si>
    <t>PREPARATION DES MILIEUX (GENERAL)</t>
  </si>
  <si>
    <t>PREPARACIÓN GENERAL DE MEDIOS</t>
  </si>
  <si>
    <t xml:space="preserve">PREPARAÇÃO GERAL DE MEIOS </t>
  </si>
  <si>
    <t xml:space="preserve">DISTILLED/DEIONIZED WATER PREPARATION </t>
  </si>
  <si>
    <t>PREPARATION D'EAU DISTILLEE / DEIONISEE</t>
  </si>
  <si>
    <t>PREPARACIÓN DE AGUA DESTILADA / DESIONIZADA</t>
  </si>
  <si>
    <t xml:space="preserve">PREPARAÇÃO DE ÁGUA DESTILADA / DEIONIZADA </t>
  </si>
  <si>
    <t>ROUTINE MEDIA QC</t>
  </si>
  <si>
    <t xml:space="preserve">CQ DES MILIEUX EN ROUTINE </t>
  </si>
  <si>
    <t>CC DE MEDIOS RUTINARIOS</t>
  </si>
  <si>
    <t xml:space="preserve">CQ DOS MEIOS DE ROTINA </t>
  </si>
  <si>
    <t>MULLER HINTON MEDIA PREPARATION AND QC</t>
  </si>
  <si>
    <t>PREPARATION ET CQ DES GELOSES DE MULLER HINTON</t>
  </si>
  <si>
    <t xml:space="preserve">PREPARACIÓN Y CC DE MEDIOS MULLER HINTON </t>
  </si>
  <si>
    <t>PREPARAÇÃO E CQ DE MEIOS MULLER HINTON</t>
  </si>
  <si>
    <t>BLOOD CULTURE BOTTLES PREPARATION AND QC</t>
  </si>
  <si>
    <t>PRÉPARATION ET CQ DES FLACONS D'HEMOCULTURE</t>
  </si>
  <si>
    <t xml:space="preserve">PREPARACIÓN Y CC DE FRASCOS DE HEMOCULTIVOS </t>
  </si>
  <si>
    <t xml:space="preserve">PREPARAÇÃO E CQ  DE FRASCOS DE HEMOCULTURAS </t>
  </si>
  <si>
    <t>6- QUALITY CONTROL - IDENTIFICATION</t>
  </si>
  <si>
    <t>6- CONTROLE QUALITE - IDENTIFICATION</t>
  </si>
  <si>
    <t>6- CONTROL DE CALIDAD - IDENTIFICACIÓN</t>
  </si>
  <si>
    <t>6-CONTROLE DE QUALIDADE - IDENTIFICAÇÃO</t>
  </si>
  <si>
    <t>GRAM STAIN QC and REAGENT LABELING AND STORAGE</t>
  </si>
  <si>
    <t>CQ POUR LA COLORATION DE GRAM et étiquetage/ stockage des réactifs</t>
  </si>
  <si>
    <t>CC DE TINCIÓN DE GRAM y ETIQUETADO Y ALMACENAMIENTO DE REACTIVOS</t>
  </si>
  <si>
    <t xml:space="preserve">CQ DA COLORAÇÃO DE GRAM, RÓTULO E ARMAZENAMENTO DE REAGENTES </t>
  </si>
  <si>
    <t>QC OF INDIVIDUAL BIOCHEMICAL METHODS</t>
  </si>
  <si>
    <t>CQ DES MÉTHODES BIOCHIMIQUES D'IDENTIFICATION</t>
  </si>
  <si>
    <t>CC DE MÉTODOS BIOQUÍMICOS INDIVIDUALES</t>
  </si>
  <si>
    <t>CQ DE MÉTODOS BIOQUÍMICOS INDIVIDUAIS</t>
  </si>
  <si>
    <t>Positive controls are in use</t>
  </si>
  <si>
    <t>Des contrôles positifs sont utilisés</t>
  </si>
  <si>
    <t>Los controles positivos están en uso.</t>
  </si>
  <si>
    <t>Os controlos positivos estão em uso</t>
  </si>
  <si>
    <t>Negative controls are in use</t>
  </si>
  <si>
    <t>Des contrôles négatifs sont utilisés</t>
  </si>
  <si>
    <t>Los controles negativos están en uso.</t>
  </si>
  <si>
    <t>Os controlos negativos estão em uso</t>
  </si>
  <si>
    <t>QC is performed on each new batch/lot number</t>
  </si>
  <si>
    <t>Le CQ est effectué sur chaque nouveau numéro de lot / série</t>
  </si>
  <si>
    <t>El CC se realiza en cada nuevo lote/número de lote</t>
  </si>
  <si>
    <t xml:space="preserve">O CQ é realizado em cada novo lote/ número de lote </t>
  </si>
  <si>
    <t>QC is performed using ATCC or ATCC-derivative strains</t>
  </si>
  <si>
    <t>Le CQ est réalisé à l'aide de souches ATCC ou dérivées d'ATCC</t>
  </si>
  <si>
    <t>El CC se realiza usando cepas ATCC o derivadas de ATCC</t>
  </si>
  <si>
    <t>O CQ é realizado utilizando cepas ATCC ou cepas derivadas de  ATCC</t>
  </si>
  <si>
    <t>QC OF ENTERIC SEROLOGY</t>
  </si>
  <si>
    <t>CQ POUR LA SEROLOGIE ENTERIQUE</t>
  </si>
  <si>
    <t>CC DE PRUEBAS SEROLÓGICAS PARA PATÓGENOS ENTÉRICOS</t>
  </si>
  <si>
    <t>CQ DE PROVAS SOROLÓGICAS PARA PATÓGENOS ENTÉRICOS</t>
  </si>
  <si>
    <t>QC OF COMMERCIAL ID KITS and AUTOMATED ID SYSTEMS</t>
  </si>
  <si>
    <t>CQ DES KITS D'IDENTIFICATION COMMERCIAUX ET SYSTÈMES D'IDENTIFICATION AUTOMATISÉS</t>
  </si>
  <si>
    <t>CC DE KITS COMERCIALES DE IDENTIFICACIÓN Y SISTEMAS DE IDENTIFICACIÓN AUTOMATIZADA</t>
  </si>
  <si>
    <t xml:space="preserve">CQ DE KITS COMERCIAIS DE IDENTIFICAÇÃO E SISTEMAS DE IDENTIFICAÇÃO AUTOMATIZADOS </t>
  </si>
  <si>
    <t>7- QUALITY CONTROL - AST</t>
  </si>
  <si>
    <t>7- CONTRÔLE DE QUALITÉ - TSA</t>
  </si>
  <si>
    <t>7- CONTROL DE CALIDAD - PSA</t>
  </si>
  <si>
    <t>7-CONTROLE DE QUALIDADE - TSA</t>
  </si>
  <si>
    <t>ROUTINE AST REFERENCE STRAINS</t>
  </si>
  <si>
    <t>SOUCHE DE REFERENCE UTLISEES EN ROUTINE POUR LES TSA</t>
  </si>
  <si>
    <t>CEPAS DE REFERENCIA PARA PSA DE RUTINA</t>
  </si>
  <si>
    <t>CEPAS DE REFERÊNCIA PARA TSA DE ROTINA</t>
  </si>
  <si>
    <t>SPECIAL AST REFERENCE STRAINS</t>
  </si>
  <si>
    <t>SOUCHES DE RÉFÉRENCE SPECIFIQUES</t>
  </si>
  <si>
    <t>CEPAS DE REFERENCIA PARA PSA ESPECIALES</t>
  </si>
  <si>
    <t>CEPAS DE REFERÊNCIA PARA TSA ESPECIAIS</t>
  </si>
  <si>
    <t>QC OF DISC DIFFUSION AST METHODS</t>
  </si>
  <si>
    <t>CQ DES TSA PAR METHODE DE DIFFUSION EN DISQUE</t>
  </si>
  <si>
    <t>CC DE LAS PSA DE DIFUSIÓN CON DISCOS</t>
  </si>
  <si>
    <t xml:space="preserve">CQ DOS MÉTODOS DE TSA COM DISCO-DIFUSÃO </t>
  </si>
  <si>
    <t>QC OF GRADIENT STRIP AST METHODS</t>
  </si>
  <si>
    <t>CQ DES TSA PAR LA MÉTHODES DES BANDELETTES GRADUEES</t>
  </si>
  <si>
    <t>CC DE LAS PSA CON TIRAS DE GRADIENTE</t>
  </si>
  <si>
    <t>CQ DOS MÉTODOS DE TSA COM TIRAS DE GRADIENTE</t>
  </si>
  <si>
    <t>QC OF AUTOMATED AST SYSTEMS</t>
  </si>
  <si>
    <t>CQ DES SYSTÈMES DE TSA AUTOMATISÉS</t>
  </si>
  <si>
    <t>CC DE SISTEMAS AUTOMATIZADOS DE PSA</t>
  </si>
  <si>
    <t>CQ DOS SISTEMAS AUTOMATIZADOS DE TSA</t>
  </si>
  <si>
    <t>8- SPECIMEN COLLECTION, TRANSPORT &amp; MANAGEMENT</t>
  </si>
  <si>
    <t>8- PRÉLÈVEMENT, TRANSPORT ET GESTION DES ÉCHANTILLONS</t>
  </si>
  <si>
    <t>8- RECOGIDA, TRANSPORTE Y GESTIÓN DE MUESTRAS</t>
  </si>
  <si>
    <t>8- COLETA, TRANSPORTE E GESTÃO DE AMOSTRAS</t>
  </si>
  <si>
    <t>SPECIMEN MANAGEMENT</t>
  </si>
  <si>
    <t>GESTION DES ÉCHANTILLONS</t>
  </si>
  <si>
    <t>GESTIÓN DE MUESTRAS</t>
  </si>
  <si>
    <t>GESTÃO DE AMOSTRAS</t>
  </si>
  <si>
    <t>SPECIMEN REJECTION</t>
  </si>
  <si>
    <t>REJET D'ÉCHANTILLON</t>
  </si>
  <si>
    <t>RECHAZO DE MUESTRAS</t>
  </si>
  <si>
    <t>REJEIÇÃO DE AMOSTRAS</t>
  </si>
  <si>
    <t>BLOOD SPECIMEN COLLECTION and TRANSPORT</t>
  </si>
  <si>
    <t>PRÉLÈVEMENT ET TRANSPORT D'ÉCHANTILLONS DE SANG</t>
  </si>
  <si>
    <t>RECOGIDA Y TRANSPORTE DE MUESTRAS DE SANGRE</t>
  </si>
  <si>
    <t xml:space="preserve">COLETA E TRANSPORTE DE AMOSTRAS DE SANGUE </t>
  </si>
  <si>
    <t>URINE SPECIMEN COLLECTION and TRANSPORT</t>
  </si>
  <si>
    <t>RECUEIL ET TRANSPORT D'ECHANTILLON D'URINE</t>
  </si>
  <si>
    <t>RECOGIDA Y TRANSPORTE DE MUESTRAS DE ORINA</t>
  </si>
  <si>
    <t xml:space="preserve">COLETA E TRANSPORTE DE AMOSTRAS DE URINA </t>
  </si>
  <si>
    <t>STOOL SPECIMEN COLLECTION and TRANSPORT</t>
  </si>
  <si>
    <t>RECUEIL  ET TRANSPORT D'ECHANTILLON DE SELLES</t>
  </si>
  <si>
    <t>RECOGIDA Y TRANSPORTE DE MUESTRAS DE HECES</t>
  </si>
  <si>
    <t xml:space="preserve">COLETA E TRANSPORTE DE AMOSTRAS DE FEZES </t>
  </si>
  <si>
    <t>9- PROCESSING</t>
  </si>
  <si>
    <t>9- TECHNIQUE</t>
  </si>
  <si>
    <t>9- PROCESAMIENTO</t>
  </si>
  <si>
    <t>9- PROCESSAMENTO</t>
  </si>
  <si>
    <t>BLOOD CULTURE PROCESSING</t>
  </si>
  <si>
    <t>TRAITEMENT DES HEMOCULTURES</t>
  </si>
  <si>
    <t>PROCESAMIENTO DE HEMOCULTIVOS</t>
  </si>
  <si>
    <t>PROCESSAMENTO DE HEMOCULTURAS</t>
  </si>
  <si>
    <t>MANUAL BLOOD CULTURE SYSTEMS</t>
  </si>
  <si>
    <t>SYSTÈMES MANUELS POUR LES HEMOCULTURES</t>
  </si>
  <si>
    <t>SISTEMAS MANUALES DE HEMOCULTIVOS</t>
  </si>
  <si>
    <t xml:space="preserve">SISTEMAS MANUAIS DE HEMOCULTURA </t>
  </si>
  <si>
    <t>URINE CULTURE</t>
  </si>
  <si>
    <t>EXAMEN BACTERIOLOGIQUE DES URINES</t>
  </si>
  <si>
    <t>UROCULTIVO</t>
  </si>
  <si>
    <t>UROCULTURAS</t>
  </si>
  <si>
    <t>STOOL CULTURE for Salmonella and Shigella</t>
  </si>
  <si>
    <t>COPROCULTURE pour recherche de Salmonella et Shigella</t>
  </si>
  <si>
    <t>COPROCULTIVOS para Salmonella y Shigella</t>
  </si>
  <si>
    <t>COPROCULTURAS para Salmonella e Shigella</t>
  </si>
  <si>
    <t>10- IDENTIFICATION METHODS &amp; SOPs</t>
  </si>
  <si>
    <t>10- METHODES D'IDENTIFICATION ET PON</t>
  </si>
  <si>
    <t>10- POEs y MÉTODOS DE IDENTIFICACIÓN</t>
  </si>
  <si>
    <t xml:space="preserve">10-POPs e MÉTODOS DE IDENTIFICAÇÃO </t>
  </si>
  <si>
    <t>CONVENTIONAL ID METHODS - SOP SCORE SUMMARY</t>
  </si>
  <si>
    <t>MÉTHODES D'IDENTITIFICATION CONVENTIONNELLES - RÉSUMÉ DE L'EVALUATION DES PON</t>
  </si>
  <si>
    <t>MÉTODOS CONVENCIONALES DE IDENTIFICACIÓN - RESUMEN DE PUNTUACIÓN DE POEs</t>
  </si>
  <si>
    <t>MÉTODOS CONVENCIONAIS  DE IDENTIFICAÇÃO- RESUMO DE PONTUAÇÃO DOS POPs</t>
  </si>
  <si>
    <t>Fully implemented*, up-to-date SOP</t>
  </si>
  <si>
    <t>Complètement mis en œuvre *, POS à jour</t>
  </si>
  <si>
    <t>Completamente implementado*, POE actualizado</t>
  </si>
  <si>
    <t>Completamente implementado *, POP atualizado</t>
  </si>
  <si>
    <t>SOP is readily available** to bench staff</t>
  </si>
  <si>
    <t>la POS est facilement disponible ** pour le personnel à la paillasse</t>
  </si>
  <si>
    <t>el POE está fácilmente disponible ** para el personal del laboratorio</t>
  </si>
  <si>
    <t>O POP está facilmente disponível ** ao pessoal de bancada do laboratório</t>
  </si>
  <si>
    <t>SOP defines QC organisms, frequency, and expected results</t>
  </si>
  <si>
    <t>la POS définit les organismes utilisés pour le contrôle qualité, la fréquence et les résultats attendus</t>
  </si>
  <si>
    <t>el POE define organismos de CC, frecuencia y resultados esperados</t>
  </si>
  <si>
    <t>O POP define os organismos de CQ, frequência e resultados esperados</t>
  </si>
  <si>
    <t>SOP provides stepwise instructions for test performance</t>
  </si>
  <si>
    <t>la POS fournit des instructions étape après étape pour l'exécution du test</t>
  </si>
  <si>
    <t>el POE proporciona instrucciones paso a paso para realizar la prueba.</t>
  </si>
  <si>
    <t>O POP fornece instruções passo a passo para a realização do teste</t>
  </si>
  <si>
    <t>SOP provides stepwise instructions for test interpretation</t>
  </si>
  <si>
    <t>La POS fournit des instructions étape après étape pour l'interprétation du test</t>
  </si>
  <si>
    <t>el POE proporciona instrucciones paso a paso para la interpretación de las pruebas.</t>
  </si>
  <si>
    <t>O POP fornece instruções passo a passo para a interpretação do teste</t>
  </si>
  <si>
    <t>STAPHYLOCOCCUS AUREUS, KEY ID METHODS</t>
  </si>
  <si>
    <t>STAPHYLOCOCCUS AUREUS, MÉTHODES CLE D'IDENTIFICATION</t>
  </si>
  <si>
    <t xml:space="preserve">STAPHYLOCOCCUS AUREUS, MÉTODOS CLAVE DE IDENTIFICACIÓN </t>
  </si>
  <si>
    <t>STAPHYLOCOCCUS AUREUS, PRINCIPAIS MÉTODOS DE IDENTIFICAÇÃO</t>
  </si>
  <si>
    <t>STAPHYLOCOCCUS AUREUS, OTHER ID METHODS</t>
  </si>
  <si>
    <t>STAPHYLOCOCCUS AUREUS, AUTRES METHODES D'IDENTIFICATION</t>
  </si>
  <si>
    <t>STAPHYLOCOCCUS AUREUS, OTROS MÉTODOS DE IDENTIFICACIÓN</t>
  </si>
  <si>
    <t>STAPHYLOCOCCUS AUREUS, OUTROS MÉTODOS DE IDENTIFICAÇÃO</t>
  </si>
  <si>
    <t>STREPTOCOCCUS PNEUMONIAE, CONVENTIONAL ID METHODS</t>
  </si>
  <si>
    <t>STREPTOCOCCUS PNEUMONIAE, METHODES D'IDENTIFICATION CONVENTIONNELLES</t>
  </si>
  <si>
    <t xml:space="preserve">STREPTOCOCCUS PNEUMONIAE, MÉTODOS CONVENCIONALES DE IDENTIFICACIÓN </t>
  </si>
  <si>
    <t>STREPTOCOCCUS PNEUMONIAE, MÉTODOS CONVENCIONAIS DE IDENTIFICAÇÃO</t>
  </si>
  <si>
    <t>ENTEROBACTERIACEAE, CONVENTIONAL ID METHODS</t>
  </si>
  <si>
    <t>ENTEROBACTERIACEAE, METHODES D'IDENTIFICATION CONVENTIONNELLES</t>
  </si>
  <si>
    <t>ENTEROBACTERIACEAE, MÉTODOS CONVENCIONALES DE IDENTIFICACIÓN</t>
  </si>
  <si>
    <t>ENTEROBACTERIACEAE, MÉTODOS CONVENCIONAIS DE IDENTIFICAÇÃO</t>
  </si>
  <si>
    <t>SHIGELLA/SALMONELLA SEROLOGY</t>
  </si>
  <si>
    <t>Sérologie SHIGELLA / SALMONELLA</t>
  </si>
  <si>
    <t>SEROLOGÍA DE SHIGELLA / SALMONELLA</t>
  </si>
  <si>
    <t>SOROLOGIA PARA SHIGELLA / SALMONELLA</t>
  </si>
  <si>
    <t>ACINETOBACTER SPP, CONVENTIONAL ID METHODS</t>
  </si>
  <si>
    <t>ACINETOBACTER SPP, METHODES D'IDENTIFICATION CONVENTIONNELLES</t>
  </si>
  <si>
    <t>ACINETOBACTER SPP, MÉTODOS CONVENCIONALES DE IDENTIFICACIÓN</t>
  </si>
  <si>
    <t>ACINETOBACTER SPP, MÉTODOS CONVENCIONAIS DE IDENTIFICAÇÃO</t>
  </si>
  <si>
    <t>KIT-BASED ID METHODS</t>
  </si>
  <si>
    <t>METHODES D'IDENTIFICATION PAR KITS COMMERCIAUX</t>
  </si>
  <si>
    <t>MÉTODOS DE IDENTIFICACIÓN BASADOS EN KIT</t>
  </si>
  <si>
    <t>MÉTODOS DE IDENTIFICAÇÃO BASEADOS EM KIT</t>
  </si>
  <si>
    <t>AUTOMATED ID METHODS</t>
  </si>
  <si>
    <t>MÉTHODES D'IDENTIFICATION AUTOMATISÉE</t>
  </si>
  <si>
    <t>MÉTODOS DE IDENTIFICACIÓN AUTOMATIZADOS</t>
  </si>
  <si>
    <t>MÉTODOS DE IDENTIFICAÇÃO AUTOMATIZADOS</t>
  </si>
  <si>
    <t>IDENTIFICATION FLOWCHARTS</t>
  </si>
  <si>
    <t>DIAGRAMMES D'IDENTIFICATION</t>
  </si>
  <si>
    <t>ALGORITMOS DE IDENTIFICACIÓN</t>
  </si>
  <si>
    <t>ALGORITMOS DE IDENTIFICAÇÃO</t>
  </si>
  <si>
    <t>11- BASIC AST</t>
  </si>
  <si>
    <t>11- TSA CLASSIQUES</t>
  </si>
  <si>
    <t>11- ASPECTOS BÁSICOS DE PSA</t>
  </si>
  <si>
    <t>11- ASPECTOS BÁSICOS DE TSA</t>
  </si>
  <si>
    <t>ANTIBIOTIC DISK AND GRADIENT STRIPS MAINTENANCE</t>
  </si>
  <si>
    <t>CONSERVATION DES DISQUES ANTIBIOTIQUES ET DES BANDELETTES GRADUEES</t>
  </si>
  <si>
    <t>MANTENIMIENTO DE DISCOS CON ANTIBIÓTICO Y TIRAS DE GRADIENTE</t>
  </si>
  <si>
    <t xml:space="preserve">MANUTENÇÃO DE DISCOS COM ANTIBIÓTICOS E TIRAS DE GRADIENTE </t>
  </si>
  <si>
    <t>INOCULUM PREPARATION</t>
  </si>
  <si>
    <t>PRÉPARATION DES INOCULUM</t>
  </si>
  <si>
    <t>PREPARACIÓN DEL INÓCULO</t>
  </si>
  <si>
    <t xml:space="preserve">PREPARAÇÃO DO INÓCULO </t>
  </si>
  <si>
    <t>INOCULATION/INCUBATION</t>
  </si>
  <si>
    <t>ENSEMENCEMENT / INCUBATION</t>
  </si>
  <si>
    <t>INOCULACIÓN / INCUBACIÓN</t>
  </si>
  <si>
    <t>INOCULAÇÃO/ INCUBAÇÃO</t>
  </si>
  <si>
    <t>READING AST RESULTS</t>
  </si>
  <si>
    <t>LECTURE DES RÉSULTATS DES TSA</t>
  </si>
  <si>
    <t>LECTURA DE RESULTADOS DE PSA</t>
  </si>
  <si>
    <t>LEITURA DE RESULTADOS DE TSA</t>
  </si>
  <si>
    <t>INTERPRETING RESULTS</t>
  </si>
  <si>
    <t>INTERPRÉTATION DES RÉSULTATS</t>
  </si>
  <si>
    <t>INTERPRETACIÓN DE RESULTADOS</t>
  </si>
  <si>
    <t>INTERPRETAÇÃO DE RESULTADOS</t>
  </si>
  <si>
    <t>BREAKPOINTS STANDARDS</t>
  </si>
  <si>
    <t>NORMES POUR LES CONCENTRATIONS CRITIQUES</t>
  </si>
  <si>
    <t>ESTÁNDARES DE LOS PUNTOS DE CORTE</t>
  </si>
  <si>
    <t>PADRÕES DOS PONTOS DE CORTE</t>
  </si>
  <si>
    <t>12- AST EXPERT RULES</t>
  </si>
  <si>
    <t>12- Règles D'EXPERTISE POUR LE TSA</t>
  </si>
  <si>
    <t>12- REGLAS DE EXPERTO PARA PSA</t>
  </si>
  <si>
    <t>12- REGRAS DE ESPECIALISTA PARA TSA</t>
  </si>
  <si>
    <t>EXPERT RULES FOR SALMONELLA</t>
  </si>
  <si>
    <t>RÈGLES D'EXPERTISE POUR SALMONELLA</t>
  </si>
  <si>
    <t>REGLAS DE EXPERTO PARA SALMONELLA</t>
  </si>
  <si>
    <t>REGRAS DE ESPECIALISTA PARA SALMONELLA</t>
  </si>
  <si>
    <t>GRAM NEGATIVES &amp; BETA-LACTAM BREAKPOINTS</t>
  </si>
  <si>
    <t xml:space="preserve"> GRAM NÉGATIFS ET CONCENTRATIONS CRITIQUES DES BETA LACTAMINES</t>
  </si>
  <si>
    <t>GRAM NEGATIVOS Y PUNTOS DE CORTE DE BETALACTÁMICOS</t>
  </si>
  <si>
    <t>GRAM NEGATIVOS E PONTOS DE CORTE PARA BETALACTÂMICOS</t>
  </si>
  <si>
    <t>PHENOTYPIC ESBL TESTING</t>
  </si>
  <si>
    <t>TESTS PHENOTYPIQUES POUR LA DETECTION DE BLSE</t>
  </si>
  <si>
    <t>PRUEBAS FENOTÍPICAS PARA LA DETECCIÓN DE BLEE</t>
  </si>
  <si>
    <t xml:space="preserve">PROVAS FENOTÍPICAS PARA A DETECÇÃO DE ESBL </t>
  </si>
  <si>
    <t>PHENOTYPIC CARBAPENEMASE TESTING</t>
  </si>
  <si>
    <t xml:space="preserve">TEST PHENOTYPIQUE POUR LA DETECTION DE CARBAPENEMASES </t>
  </si>
  <si>
    <t>PRUEBAS FENOTÍPICAS PARA LA DETECCIÓN DE CARBAPENEMASAS</t>
  </si>
  <si>
    <t>PROVAS FENOTÍPICAS PARA A DETECÇÃO DE CARBAPEMASES</t>
  </si>
  <si>
    <t>COLISTIN TESTING</t>
  </si>
  <si>
    <t>TEST DE LA COLISTINE</t>
  </si>
  <si>
    <t>PRUEBAS DE SENSIBILIDAD A COLISTINA</t>
  </si>
  <si>
    <t>PROVAS DE SENSIBILIDADE A COLISTINA</t>
  </si>
  <si>
    <t>EXPERT RULES FOR STAPH AUREUS</t>
  </si>
  <si>
    <t>RÈGLES D'EXPERTISE POUR LE STAPH AUREUS</t>
  </si>
  <si>
    <t>REGLAS DE EXPERTO PARA STAPH AUREUS</t>
  </si>
  <si>
    <t>REGRAS DE ESPECIALISTA PARA STAPH AUREUS</t>
  </si>
  <si>
    <t>GENERAL CONSIDERATIONS FOR STREP PNEUMONIAE</t>
  </si>
  <si>
    <t>GENERALITES SUR LE PNEUMOCOQUE</t>
  </si>
  <si>
    <t>CONSIDERACIONES GENERALES PARA STREP PNEUMONIAE</t>
  </si>
  <si>
    <t>CONSIDERAÇÕES GERAIS PARA STREP PNEUMONIAE</t>
  </si>
  <si>
    <t>EXPERT RULES FOR STREP PNEUMONIAE</t>
  </si>
  <si>
    <t>RÈGLES D'EXPERTISE POUR LE PNEUMOCOQUE</t>
  </si>
  <si>
    <t>REGLAS DE EXPERTO PARA STREP PNEUMONIAE</t>
  </si>
  <si>
    <t>REGRAS DE ESPECIALISTA PARA STREP PNEUMONIAE</t>
  </si>
  <si>
    <t>INDUCIBLE CLINDAMYCIN RESISTANCE TESTING</t>
  </si>
  <si>
    <t>TEST DE RÉSISTANCE INDUCTIBLE À LA CLINDAMYCINE</t>
  </si>
  <si>
    <t>PRUEBAS PARA LA DETECCIÓN DE RESISTENCIA INDUCIBLE A CLINDAMICINA</t>
  </si>
  <si>
    <t xml:space="preserve">PROVAS PARA A DETECÇÃO DE RESISTÊNCIA INDUZÍVEL A CLINDAMICINA </t>
  </si>
  <si>
    <t>EXPERT RULES FOR CEREBROSPINAL FLUID</t>
  </si>
  <si>
    <t>RÈGLES D'EXPERTISE POUR LE LCR</t>
  </si>
  <si>
    <t>REGLAS DE EXPERTO PARA EL LÍQUIDO CEFALORRAQUÍDEO</t>
  </si>
  <si>
    <t>REGRAS DE ESPECIALISTA PARA O LÍQUIDO CEFALORRAQUIDIANO</t>
  </si>
  <si>
    <t>13- AST PANELS, POLICY AND ANALYSIS</t>
  </si>
  <si>
    <t>13- PANELS, STRATEGIE DET ANALYSE DES TSA</t>
  </si>
  <si>
    <t>13- POLÍTICAS Y ANÁLISIS DE PANELES DE PSA</t>
  </si>
  <si>
    <t xml:space="preserve">13- POLÍTICA E ANÁLISE DE PAINÉIS DE TSA </t>
  </si>
  <si>
    <t>AST PANELS</t>
  </si>
  <si>
    <t>PANELS DE TSA</t>
  </si>
  <si>
    <t>PANELES DE PSA</t>
  </si>
  <si>
    <t>PAINÉIS DE TSA</t>
  </si>
  <si>
    <t>CUMULATIVE ANTIBIOGRAMS</t>
  </si>
  <si>
    <t>ANTIBIOGRAMMES CUMULATIFS</t>
  </si>
  <si>
    <t>INFORME ACUMULADO DE ANTIBIOGRAMA</t>
  </si>
  <si>
    <t xml:space="preserve">RELATÓRIO ACUMULADO DE ANTIBIOGRAMAS </t>
  </si>
  <si>
    <t>AST PANEL POLICY</t>
  </si>
  <si>
    <t>STRATEGIE POUR LE TSA</t>
  </si>
  <si>
    <t>POLÍTICAS DE PANEL DE PSA</t>
  </si>
  <si>
    <t>POLÍTICA DE PAINEIS DE TSA</t>
  </si>
  <si>
    <t>SAFETY</t>
  </si>
  <si>
    <t>BIOSAFETY EQUIPMENT</t>
  </si>
  <si>
    <t>BIOSÉCURITÉ : EQUIPEMENT</t>
  </si>
  <si>
    <t>EQUIPO DE BIOSEGURIDAD</t>
  </si>
  <si>
    <t>EQUIPAMENTOS DE BIOSSEGURANÇA</t>
  </si>
  <si>
    <t>BIOSAFETY BEHAVIORS</t>
  </si>
  <si>
    <t>BIOSÉCURITÉ : COMPORTEMENTS</t>
  </si>
  <si>
    <t>COMPORTAMIENTOS DE BIOSEGURIDAD</t>
  </si>
  <si>
    <t>COMPORTAMENTOS DE BIOSSEGURANÇA</t>
  </si>
  <si>
    <t>PERSONAL PROTECTIVE EQUIPMENT</t>
  </si>
  <si>
    <t>ÉQUIPEMENT DE PROTECTION INDIVIDUELLE</t>
  </si>
  <si>
    <t>EQUIPO DE PROTECCIÓN PERSONAL</t>
  </si>
  <si>
    <t>EQUIPAMENTO DE PROTEÇÃO INDIVIDUAL</t>
  </si>
  <si>
    <t>BIOSAFETY DOCUMENTATION AND TRAINING</t>
  </si>
  <si>
    <t>DOCUMENTATION ET FORMATION EN BIOSÉCURITÉ</t>
  </si>
  <si>
    <t>DOCUMENTACIÓN Y FORMACIÓN DE BIOSEGURIDAD</t>
  </si>
  <si>
    <t>DOCUMENTAÇÃO E TREINAMENTO EM BIOSSEGURANÇA</t>
  </si>
  <si>
    <t>Biochemical Identification Reagents</t>
  </si>
  <si>
    <t>Réactifs d'identification biochimique</t>
  </si>
  <si>
    <t>Reactivos de identificación bioquímica</t>
  </si>
  <si>
    <t>Reagentes para identificação bioquímica</t>
  </si>
  <si>
    <t>In Use?</t>
  </si>
  <si>
    <t>Utilisé?</t>
  </si>
  <si>
    <t>¿En uso?</t>
  </si>
  <si>
    <t>Em uso?</t>
  </si>
  <si>
    <t>QC Score</t>
  </si>
  <si>
    <t>Score CQ</t>
  </si>
  <si>
    <t>Puntuación CC</t>
  </si>
  <si>
    <t>Pontuação CQ</t>
  </si>
  <si>
    <t>SOP Score</t>
  </si>
  <si>
    <t>Score SOP</t>
  </si>
  <si>
    <t>Puntuación POE</t>
  </si>
  <si>
    <t>Pontuação POP</t>
  </si>
  <si>
    <t>Catalase (H2O2)</t>
  </si>
  <si>
    <t>Catalasa (H2O2)</t>
  </si>
  <si>
    <t>Coagulase plasma</t>
  </si>
  <si>
    <t>Coagulase</t>
  </si>
  <si>
    <t>Plasma-coagulasa</t>
  </si>
  <si>
    <t>Plasma-coagulase</t>
  </si>
  <si>
    <t>Staph latex agglutination</t>
  </si>
  <si>
    <t>Test d'agglutination au latex pour le staphylocoque</t>
  </si>
  <si>
    <t>Aglutinación de látex para estafilococos</t>
  </si>
  <si>
    <t>Aglutinação em látex para estafilococos</t>
  </si>
  <si>
    <t>Staph chromagar</t>
  </si>
  <si>
    <t>Medio CHROMagar para la identificación de estafilococos</t>
  </si>
  <si>
    <t xml:space="preserve">Meio CHROMagar para a identificação de estafilococos </t>
  </si>
  <si>
    <t>DNase</t>
  </si>
  <si>
    <t>DNasa</t>
  </si>
  <si>
    <t>PYR</t>
  </si>
  <si>
    <t>Pirrolidonilarilamidasa  (PYR)</t>
  </si>
  <si>
    <t>Optochin ("P") disk</t>
  </si>
  <si>
    <t>Disque d'Optochine ("P")</t>
  </si>
  <si>
    <t>Disco de  Optoquina ("P")</t>
  </si>
  <si>
    <t xml:space="preserve">Disco de Optoquina ( "P") </t>
  </si>
  <si>
    <t>Bile solubility (deoxycholate)</t>
  </si>
  <si>
    <t>Solubilité dans la bile (désoxycholate)</t>
  </si>
  <si>
    <t>Solubilidad en bilis (desoxicolato)</t>
  </si>
  <si>
    <t>Solubilidade em bile (desoxicolato)</t>
  </si>
  <si>
    <t>Strep. pneumo latex agglutination</t>
  </si>
  <si>
    <t>Agglutination latex du Pneumocoque</t>
  </si>
  <si>
    <t>Aglutinación de látex para Strep. pneumo</t>
  </si>
  <si>
    <t xml:space="preserve">Aglutinação em látex para Strep. pneumo </t>
  </si>
  <si>
    <t>Oxidase</t>
  </si>
  <si>
    <t>Oxydase</t>
  </si>
  <si>
    <t>Oxidasa</t>
  </si>
  <si>
    <t>Indole reagents</t>
  </si>
  <si>
    <t>Indole</t>
  </si>
  <si>
    <t>Reactivos de indol</t>
  </si>
  <si>
    <t>Reagentes de indol</t>
  </si>
  <si>
    <t>Methyl Red</t>
  </si>
  <si>
    <t>Rouge  méthyle</t>
  </si>
  <si>
    <t>Rojo de metilo</t>
  </si>
  <si>
    <t>Vermelho de Metila</t>
  </si>
  <si>
    <t>Voges-Proskauer</t>
  </si>
  <si>
    <t>Citrate</t>
  </si>
  <si>
    <t>Citrato</t>
  </si>
  <si>
    <t>Triple Sugar Iron agar or Kligler's Iron Agar</t>
  </si>
  <si>
    <t>Gélose Trois sucres-fer (TSI) ou gélose de Kligler</t>
  </si>
  <si>
    <t>Agar Hierro-Triple-Azúcar o agar de Hierro de Kligler</t>
  </si>
  <si>
    <t xml:space="preserve"> Agar Tríplice Açúcar Ferro ou Agar Ferro de Kligler</t>
  </si>
  <si>
    <t>Urease</t>
  </si>
  <si>
    <t>Uréase</t>
  </si>
  <si>
    <t>Ureasa</t>
  </si>
  <si>
    <t>Motility</t>
  </si>
  <si>
    <t>Motilité</t>
  </si>
  <si>
    <t>Motilidad</t>
  </si>
  <si>
    <t>Motilidade</t>
  </si>
  <si>
    <t>Lysine Iron Agar (LIA) or Lysine decarboxylase (LDC)</t>
  </si>
  <si>
    <t>Gélose à la lysine et fer (LIA) ou lysine décarboxylase (LDC)</t>
  </si>
  <si>
    <t>Agar Lisina Hierro (LIA) o Lisina descarboxilasa (LDC)</t>
  </si>
  <si>
    <t>Agar Lisina Ferro (LIA) ou Lisina descarboxilase (LDC)</t>
  </si>
  <si>
    <t>Glucose or Dextrose Oxidative-Fermentative (OF) test</t>
  </si>
  <si>
    <t>Test de glucose ou de dextrose oxydant-fermentatif (OF)</t>
  </si>
  <si>
    <t>Prueba de oxidación-fermentación (OF) de la glucosa o dextrosa</t>
  </si>
  <si>
    <t>Prova de Oxidação-Fermentação (OF) da glicose ou dextrose</t>
  </si>
  <si>
    <t>Nitrate reduction</t>
  </si>
  <si>
    <t>Réduction des nitrates</t>
  </si>
  <si>
    <t>Reducción de nitratos</t>
  </si>
  <si>
    <t>Redução de nitratos</t>
  </si>
  <si>
    <t>Gelatin hydrolysis</t>
  </si>
  <si>
    <t>Hydrolyse de la gélatine</t>
  </si>
  <si>
    <t>Hidrólisis de la gelatina</t>
  </si>
  <si>
    <t>Hidrólise da gelatina</t>
  </si>
  <si>
    <t>Chloramphenicol resistance (disk)</t>
  </si>
  <si>
    <t>Résistance au chloramphénicol (disque)</t>
  </si>
  <si>
    <t>Resistencia al cloranfenicol (disco)</t>
  </si>
  <si>
    <t>Resistência ao cloranfenicol (disco)</t>
  </si>
  <si>
    <t>Growth at 42°C</t>
  </si>
  <si>
    <t>Croissance à 42 ° C</t>
  </si>
  <si>
    <t>Crecimiento a 42°C</t>
  </si>
  <si>
    <t>Crescimento a 42 ° C</t>
  </si>
  <si>
    <t>Shigella serology</t>
  </si>
  <si>
    <t>Sérologie Shigella</t>
  </si>
  <si>
    <t>Serología de Shigella</t>
  </si>
  <si>
    <t>Sorologia para Shigella</t>
  </si>
  <si>
    <t>Salmonella serology</t>
  </si>
  <si>
    <t>Sérologie salmonelle</t>
  </si>
  <si>
    <t>Serología de Salmonella</t>
  </si>
  <si>
    <t>Sorologia para Salmonella</t>
  </si>
  <si>
    <t>Equipment availability summary</t>
  </si>
  <si>
    <t>Résumé des équipements disponibles</t>
  </si>
  <si>
    <t>Resumen de equipamiento disponible</t>
  </si>
  <si>
    <t xml:space="preserve">Resumo da disponibilidade de equipamento </t>
  </si>
  <si>
    <t>General equipment</t>
  </si>
  <si>
    <t>Équipement</t>
  </si>
  <si>
    <t>Equipamiento general</t>
  </si>
  <si>
    <t>Equipamento Geral</t>
  </si>
  <si>
    <t>McFarland QC standards of known densities, including 0.5, not expired</t>
  </si>
  <si>
    <t>Etalon McFarland de densités connues, comprenant 0,5 McFarland (ne prendre en compte que les étalons non périmés)</t>
  </si>
  <si>
    <t>Estándares de turbidez de McFarland con valores de concentración final conocidos, incluido el de 0.5, no caducados</t>
  </si>
  <si>
    <t>Padrões de turbidez para CQ de McFarland com valores conhecidos, incluindo o de 0.5, não expirados</t>
  </si>
  <si>
    <t>Ruler or caliper with millimeter markings</t>
  </si>
  <si>
    <t>Règle ou pied à coulisse avec repères millimétriques</t>
  </si>
  <si>
    <t>Regla o pie de rey con marcas milimétricas</t>
  </si>
  <si>
    <t>Régua ou paquímetro com marcações milimétricas</t>
  </si>
  <si>
    <t>Bunsen burners or micro-incinerators</t>
  </si>
  <si>
    <t>Becs Bunsen ou micro-incinérateurs</t>
  </si>
  <si>
    <t>Mecheros Bunsen o microincineradores</t>
  </si>
  <si>
    <t>Bicos de Bunsen ou micro-incineradores</t>
  </si>
  <si>
    <t>Calibrated 1uL or 10uL loops (for plating urine cultures)</t>
  </si>
  <si>
    <t>Oeses calibrées de 1uL ou 10uL (pour l'ensemencement des urines)</t>
  </si>
  <si>
    <t>Asas de siembra calibradas de 1uL o 10uL (para sembrar en placa cultivos de orina)</t>
  </si>
  <si>
    <t>Alças calibradas de 1uL ou 10uL (para semear culturas de urina)</t>
  </si>
  <si>
    <t>Optical densitometer/turbidimeter (for determining McFarland density)</t>
  </si>
  <si>
    <t>Densitomètre optique / turbidimètre (pour déterminer la densité de McFarland)</t>
  </si>
  <si>
    <t>Densitómetro óptico / turbidímetro (para determinar la turbidez de McFarland)</t>
  </si>
  <si>
    <t>Densímetro óptico / turbidímetro (para a determinação da turbidez de McFarland)</t>
  </si>
  <si>
    <t>Microliter pipettes (e.g., Eppendorf)</t>
  </si>
  <si>
    <t>Micropipettes (par exemple Eppendorf)</t>
  </si>
  <si>
    <t>Pipetas de microlitros (Ej., Eppendorf)</t>
  </si>
  <si>
    <t>Micropipetas (ex.,Eppendorf)</t>
  </si>
  <si>
    <t>Centrifuge (not used for TB cultures)</t>
  </si>
  <si>
    <t>Centrifugeuse (non utilisée pour les cultures de la tuberculose)</t>
  </si>
  <si>
    <t>Centrífuga (no utilizada para cultivos de TB)</t>
  </si>
  <si>
    <t>Centrífuga (não utilizada para culturas TB)</t>
  </si>
  <si>
    <t>Microscope</t>
  </si>
  <si>
    <t>Microscopio</t>
  </si>
  <si>
    <t>Microscópio</t>
  </si>
  <si>
    <t>Thermometers</t>
  </si>
  <si>
    <t>Thermomètres</t>
  </si>
  <si>
    <t>Termómetros</t>
  </si>
  <si>
    <t>Termômetros</t>
  </si>
  <si>
    <t>CO2 incubators</t>
  </si>
  <si>
    <t>Etuves à CO2</t>
  </si>
  <si>
    <t>Estufas de CO2</t>
  </si>
  <si>
    <t>Candle jars</t>
  </si>
  <si>
    <t>Jarres à bougie</t>
  </si>
  <si>
    <t>Tarros de vela</t>
  </si>
  <si>
    <t>Jarras de vela</t>
  </si>
  <si>
    <t>Ambient (non-CO2) incubator</t>
  </si>
  <si>
    <t>Etuves (sans CO2)</t>
  </si>
  <si>
    <t>Estufa a temperatura ambiente (sin CO2)</t>
  </si>
  <si>
    <t xml:space="preserve">Estufa a temperatura ambiente (sem CO2) </t>
  </si>
  <si>
    <t>Refrigerator (2-8°C)</t>
  </si>
  <si>
    <t>Réfrigérateur (2-8 ° C)</t>
  </si>
  <si>
    <t>Nevera (2-8°C)</t>
  </si>
  <si>
    <t>Geladeira (2-8 ° C)</t>
  </si>
  <si>
    <t xml:space="preserve">Non-defrosting freezer, -20°C </t>
  </si>
  <si>
    <t>Congélateur sans dégivrage, -20 ° C</t>
  </si>
  <si>
    <t>Congelador no frost, -20 ° C</t>
  </si>
  <si>
    <t xml:space="preserve">Congelador, (sem ciclo de degelo) -20 ° C </t>
  </si>
  <si>
    <t>Non-defrosting freezer, -60°C</t>
  </si>
  <si>
    <t>Congélateur sans dégivrage, -60 ° C</t>
  </si>
  <si>
    <t>Congelador no frost, -60 ° C</t>
  </si>
  <si>
    <t xml:space="preserve">Congelador, (sem ciclo de degelo) -60 ° C </t>
  </si>
  <si>
    <t xml:space="preserve">Non-defrosting freezer, -80°C </t>
  </si>
  <si>
    <t>Congélateur sans dégivrage, -80 ° C</t>
  </si>
  <si>
    <t>Congelador no frost, -80 ° C</t>
  </si>
  <si>
    <t xml:space="preserve">Congelador, (sem ciclo de degelo) -80 ° C </t>
  </si>
  <si>
    <t>Rechargeable desiccants (for storage of open antibiotic disks and strips)</t>
  </si>
  <si>
    <t>Dessiccants rechargeables (pour le stockage de disques et de bandelettes d'antibiotiques ouverts)</t>
  </si>
  <si>
    <t>Desecantes recargables (para el almacenamiento de cartuchos abiertos de discos y tiras con antibióticos)</t>
  </si>
  <si>
    <t>Dissecantes recarregáveis ​​(para o armazenamento de cartuchos abertos de discos e tiras com antibióticos )</t>
  </si>
  <si>
    <t>Hot air oven (for drying saturated desiccants)</t>
  </si>
  <si>
    <t>Four à air chaud (pour sécher les dessiccants saturés)</t>
  </si>
  <si>
    <t>Estufa (para secar desecantes saturados)</t>
  </si>
  <si>
    <t>Estufa (para secar dissecantes saturados)</t>
  </si>
  <si>
    <t>Biological Safety Cabinet Class IIA</t>
  </si>
  <si>
    <t>Poste de sécurité microbiologique classe IIA</t>
  </si>
  <si>
    <t>Cabina de seguridad biológica clase IIA</t>
  </si>
  <si>
    <t>Cabine de Segurança Biológica Classe IIA</t>
  </si>
  <si>
    <t>Autoclave for media preparation ("clean" autoclave)</t>
  </si>
  <si>
    <t>Autoclave pour la préparation des milieux (autoclave "propre")</t>
  </si>
  <si>
    <t>Autoclave para preparación de medios (autoclave "limpio")</t>
  </si>
  <si>
    <t>Autoclave para a preparação dos meios (autoclave "limpo")</t>
  </si>
  <si>
    <t>Autoclave for sterlizing waste ("dirty" autoclave)</t>
  </si>
  <si>
    <t>Autoclave pour stériliser les déchets (autoclave "sale")</t>
  </si>
  <si>
    <t>Autoclave para esterilizar residuos (autoclave "sucio")</t>
  </si>
  <si>
    <t>Autoclave para esterilizar resíduos ( autoclave "sujo")</t>
  </si>
  <si>
    <t>Media Preparation equipment</t>
  </si>
  <si>
    <t>Equipement pour la préparation des milieux</t>
  </si>
  <si>
    <t>Equipamiento para la preparación de medios</t>
  </si>
  <si>
    <t>Equipamentos para a Preparação de Meios</t>
  </si>
  <si>
    <t>pH meter</t>
  </si>
  <si>
    <t>pH mètre</t>
  </si>
  <si>
    <t>pH-metro</t>
  </si>
  <si>
    <t>Medidor de pH</t>
  </si>
  <si>
    <t>Weighing balance</t>
  </si>
  <si>
    <t>Balance de pesée</t>
  </si>
  <si>
    <t>Balanza de peso</t>
  </si>
  <si>
    <t xml:space="preserve">Balança </t>
  </si>
  <si>
    <t>Conductivity meter</t>
  </si>
  <si>
    <t>Conductimètre</t>
  </si>
  <si>
    <t>Medidor de conductividad</t>
  </si>
  <si>
    <t>Condutivímetro</t>
  </si>
  <si>
    <t>Distillator/reverse osmosis equipment</t>
  </si>
  <si>
    <t>Distillateur / équipement pour l'osmose inverse</t>
  </si>
  <si>
    <t>Destilador / equipo de ósmosis inversa</t>
  </si>
  <si>
    <t>Equipamento de osmose inversa / destilador</t>
  </si>
  <si>
    <t>Hot plate with magnetic stir bar (for mixing powdered media)</t>
  </si>
  <si>
    <t>Plaque chauffante avec agitateur magnétique (pour le mélange de milieux en poudre)</t>
  </si>
  <si>
    <t>Agitador magnético con placa calefactora (para mezclar medios en polvo)</t>
  </si>
  <si>
    <t>Agitador magnético com placa aquecedora (para a mistura de meio em pó)</t>
  </si>
  <si>
    <t>Water bath</t>
  </si>
  <si>
    <t>Bain-marie</t>
  </si>
  <si>
    <t>Baño de agua</t>
  </si>
  <si>
    <t>Banho-Maria</t>
  </si>
  <si>
    <t>Automated Instruments</t>
  </si>
  <si>
    <t>Instruments automatisés</t>
  </si>
  <si>
    <t>Instrumentos automatizados</t>
  </si>
  <si>
    <t>Blood culture instrument</t>
  </si>
  <si>
    <t>Instrument pour les hémocultures</t>
  </si>
  <si>
    <t>Instrumento para hemocultivos</t>
  </si>
  <si>
    <t xml:space="preserve">Instrumento para hemocultura  </t>
  </si>
  <si>
    <t>Instrument for bacterial ID and AST (e.g. Vitek, Phoenix, Microscan)</t>
  </si>
  <si>
    <t>Instrument pour l'identification et les TSA des bactéries (par exemple Vitek, Phoenix, Microscan)</t>
  </si>
  <si>
    <t>Instrumento para identificación bacteriana y PSA (Ej., Vitek, Phoenix, Microscan)</t>
  </si>
  <si>
    <t>Instrumento para identificação bacteriana e TSA (ex. Vitek, Phoenix, Microscan)</t>
  </si>
  <si>
    <t>Instrument for reading disk diffusion (e.g. SIRSCAN, BIOMIC V3, ADAGIO, etc.)</t>
  </si>
  <si>
    <t>Instrument de lecture des TSA en disques (par exemple SIRSCAN, BIOMIC V3, ADAGIO, etc.)</t>
  </si>
  <si>
    <t>Instrumento de lectura de pruebas de difusión con discos (Ej., SIRSCAN, BIOMIC V3, ADAGIO, etc.)</t>
  </si>
  <si>
    <t>Instrumento para a leitura das provas de disco-difusão (ex. SIRSCAN, BIOMIC V3, ADAGIO, etc.)</t>
  </si>
  <si>
    <t xml:space="preserve">MALDI instrument for organism ID </t>
  </si>
  <si>
    <t>Instrument MALDI pour l'identification des organismes</t>
  </si>
  <si>
    <t>Instrumento MALDI para la identificación de organismos</t>
  </si>
  <si>
    <t>Instrumento MALDI para a identificação de organismos</t>
  </si>
  <si>
    <t xml:space="preserve">PCR instrument for antibiotic resistance gene detection </t>
  </si>
  <si>
    <t>Instrument de PCR pour la détection des gènes de résistance aux antibiotiques</t>
  </si>
  <si>
    <t>Instrumento de PCR para la detección de genes de resistencia a antibióticos</t>
  </si>
  <si>
    <t xml:space="preserve">Instrumento de PCR para a detecção de genes de resistência a antibióticos </t>
  </si>
  <si>
    <t>CONCLUSIONS</t>
  </si>
  <si>
    <t>CONCLUSIONES</t>
  </si>
  <si>
    <t>CONCLUSÕES</t>
  </si>
  <si>
    <t>Use the embedded MS Word file to summarize the main findings and recommendations in narrative format.</t>
  </si>
  <si>
    <t>Utilisez le fichier MS Word intégré pour résumer et rédiger les principales conclusions et recommandations</t>
  </si>
  <si>
    <t>Utilice el archivo MS Word incorporado para resumir los principales hallazgos y recomendaciones en formato narrativo.</t>
  </si>
  <si>
    <t>Use o arquivo em anexo do MS Word para resumir as principais conclusões e recomendações em formato narrativo.</t>
  </si>
  <si>
    <t>To enter findings, double click inside the box below.</t>
  </si>
  <si>
    <t>Pour saisir les résultats, double-cliquez le cadre ci-dessous.</t>
  </si>
  <si>
    <t>Para introducir los resultados, haga doble clic dentro del cuadro situado a continuación.</t>
  </si>
  <si>
    <t>Para inserir resultados, clique duas vezes dentro da caixa abaixo.</t>
  </si>
  <si>
    <t>To exit and save, click anywhere in the Excel grid.</t>
  </si>
  <si>
    <t>Pour quitter et enregistrer, cliquez n'importe où dans la grille Excel.</t>
  </si>
  <si>
    <t>Para salir y guardar, haga clic en cualquier lugar de la cuadrícula de Excel.</t>
  </si>
  <si>
    <t>Para sair e salvar, clique em qualquer lugar da grade do Excel.</t>
  </si>
  <si>
    <t>PHOTOGRAPHS</t>
  </si>
  <si>
    <t>PHOTOGRAPHIES</t>
  </si>
  <si>
    <t>FOTOGRAFÍAS</t>
  </si>
  <si>
    <t>FOTOGRAFIAS</t>
  </si>
  <si>
    <t>Before inserting photos, resize them to less than 500KB/2MP (size “Medium”) in order to keep the final Excel file size small</t>
  </si>
  <si>
    <t>Avant d'insérer des photos, redimensionnez-les à moins de 500 Ko / 2 MP (taille « moyenne ») afin de conserver la taille finale du fichier Excel petite</t>
  </si>
  <si>
    <t>Antes de insertar fotos, redimensionelas a menos de 500 KB / 2MP (tamaño "Medio") para mantener pequeño el tamaño final del archivo Excel</t>
  </si>
  <si>
    <t>Antes de inserir fotos, redimensione-as para menos de 500 KB / 2MP (tamanho "Médio") para manter o arquivo final do do Excel em tamanho pequeno</t>
  </si>
  <si>
    <t>Up to 6 photographs may be inserted.</t>
  </si>
  <si>
    <t>Jusqu'à 6 photographies peuvent être insérées.</t>
  </si>
  <si>
    <t>Se pueden insertar hasta 6 fotografías.</t>
  </si>
  <si>
    <t>Podem ser inseridas até 6 fotografias.</t>
  </si>
  <si>
    <t>Obtain permission before taking photos, and avoid capturing any patient identifiers</t>
  </si>
  <si>
    <t>Obtenez l'autorisation avant de prendre des photos et évitez de photographier les identifiants des patients</t>
  </si>
  <si>
    <t>Obtenga permiso antes de tomar fotos y evite capturar identificadores de pacientes</t>
  </si>
  <si>
    <t>Obtenha permissão antes de tirar fotos e evite capturar quaisquer identificadores de paciente</t>
  </si>
  <si>
    <t>FLAGS</t>
  </si>
  <si>
    <t>ALERTES</t>
  </si>
  <si>
    <t>Alertas</t>
  </si>
  <si>
    <t>ALERTAS</t>
  </si>
  <si>
    <t>Red Flags represent practices that may put patients or staff at risk and should be corrected immediately</t>
  </si>
  <si>
    <t>Les Drapeaux rouges représentent des pratiques pouvant présenter un risque pour les patients ou le personnel et devant être corrigées immédiatemment</t>
  </si>
  <si>
    <t>Las Alertas Rojas representan prácticas que pueden poner en riesgo a los pacientes o al personal y deben corregirse de inmediato</t>
  </si>
  <si>
    <t>Os alertas vermelhos representam práticas que podem colocar em risco os pacientes ou funcionários e devem ser corrigidas imediatamente</t>
  </si>
  <si>
    <t>Training Opportunities highlight areas where sufficient training is frequently lacking</t>
  </si>
  <si>
    <t>Les Opportunités de formation mettent en évidence les domaines dans lesquels une formation suffisante fait souvent défaut</t>
  </si>
  <si>
    <t>Las oportunidades de formación resaltan áreas en las que frecuentemente falta suficiente formación</t>
  </si>
  <si>
    <t xml:space="preserve">As oportunidades de treinamento ressaltam áreas de destaque onde frequentemente falta treinamento suficiente </t>
  </si>
  <si>
    <t>System Flags highlight problems with the Hospital System or with National Systems. Lab leadership may need to reach out to Hospital or National leadership for assistance to change</t>
  </si>
  <si>
    <t>Les "Alertes système" mettent en évidence des problèmes en lien avec le système hospitalier ou avec les systèmes nationaux. La direction du laboratoire peut avoir besoin de contacter les dirigeants de l'hôpital ou du pays pour obtenir de l'aide en vue d'un changement.</t>
  </si>
  <si>
    <t>Las Alertas del Sistema resaltan problemas con el Sistema Hospitalario o con los Sistemas Nacionales. El responsable del laboratorio necesita comunicarse con el hospital o el responsable nacional para obtener asistencia para cambiarlo</t>
  </si>
  <si>
    <t>Os alertas do sistema ressaltam problemas com o Sistema Hospitalar ou com os Sistemas Nacionais. O responsável do laboratório necessita comunicar-se com o hospital ou responsável nacional para obter assistência na alteração</t>
  </si>
  <si>
    <t>Alertas Rojas</t>
  </si>
  <si>
    <t>Response</t>
  </si>
  <si>
    <t>Réponse</t>
  </si>
  <si>
    <t>Respuesta</t>
  </si>
  <si>
    <t>Resposta</t>
  </si>
  <si>
    <t>Trigger</t>
  </si>
  <si>
    <t>Déclencheur</t>
  </si>
  <si>
    <t>Desencadenar</t>
  </si>
  <si>
    <t>Desencadear</t>
  </si>
  <si>
    <t>Module</t>
  </si>
  <si>
    <t>Módulo</t>
  </si>
  <si>
    <t>Question</t>
  </si>
  <si>
    <t>Pregunta</t>
  </si>
  <si>
    <t>Questão</t>
  </si>
  <si>
    <t>Indicate whether the lab has the following FUNCTIONAL pieces of equipment.</t>
  </si>
  <si>
    <t>Indiquez si le laboratoire dispose des équipements FONCTIONNELS suivants.</t>
  </si>
  <si>
    <t>Indique si el laboratorio cuenta con los siguientes equipos FUNCIONALES</t>
  </si>
  <si>
    <t>Indicar se o laboratório tem as seguintes peças de equipamentos FUNCIONAIS</t>
  </si>
  <si>
    <t>Has calibration been performed within the last year?</t>
  </si>
  <si>
    <t>L'étalonnage a-t-il été effectuée au cours de la dernière année?</t>
  </si>
  <si>
    <t>¿Se ha calibrado en el último año?</t>
  </si>
  <si>
    <t>Há registros de calibração no último ano?</t>
  </si>
  <si>
    <t>System Flag</t>
  </si>
  <si>
    <t>Alerte système</t>
  </si>
  <si>
    <t>Alerta del Sistema</t>
  </si>
  <si>
    <t>Alerta do Sistema</t>
  </si>
  <si>
    <t>Total number of Red Flags</t>
  </si>
  <si>
    <t>Nombre total de drapeaux rouges</t>
  </si>
  <si>
    <t>Número total de Alertas Rojas</t>
  </si>
  <si>
    <t>Número total de Alertas Vermelhos</t>
  </si>
  <si>
    <t>Total number of Training Opportunities</t>
  </si>
  <si>
    <t>Nombre total d'Opportunités de formation</t>
  </si>
  <si>
    <t>Número total de oportunidades de formación</t>
  </si>
  <si>
    <t>Número total de Oportunidades de Treinamento</t>
  </si>
  <si>
    <t>Total number of System Flags</t>
  </si>
  <si>
    <t>Nombre total d'Alertes système</t>
  </si>
  <si>
    <t>Número total de Alertas del Sistema</t>
  </si>
  <si>
    <t>Número total de Alertas do sistema</t>
  </si>
  <si>
    <t>0- GENERAL INFORMATION</t>
  </si>
  <si>
    <t>0- INFORMATIONS GÉNÉRALES</t>
  </si>
  <si>
    <t>0- INFORMACIÓN GENERAL</t>
  </si>
  <si>
    <t>0- INFORMAÇÃO GERAL</t>
  </si>
  <si>
    <t>LABORATORY DEMOGRAPHICS</t>
  </si>
  <si>
    <t>DONNEES DÉMOGRAPHIQUES DU LABORATOIRE</t>
  </si>
  <si>
    <t>DEMOGRAFÍA DEL LABORATORIO</t>
  </si>
  <si>
    <t>DEMOGRAFIA DO LABORATÓRIO</t>
  </si>
  <si>
    <t>Assessor 1 (name and affiliation)</t>
  </si>
  <si>
    <t>Evaluateur 1 (nom et affiliation)</t>
  </si>
  <si>
    <t>Asesor 1 (nombre y afiliación)</t>
  </si>
  <si>
    <t>Assessor 1 (nome e filiação)</t>
  </si>
  <si>
    <t>Assessor 2 (name and affiliation)</t>
  </si>
  <si>
    <t>Evaluateur 2 (nom et affiliation)</t>
  </si>
  <si>
    <t>Asesor 2 (nombre y afiliación)</t>
  </si>
  <si>
    <t>Assessor 2 (nome e filiação)</t>
  </si>
  <si>
    <t>Assessor 3 (name and affiliation)</t>
  </si>
  <si>
    <t>Evaluateur 3 (nom et affiliation)</t>
  </si>
  <si>
    <t>Asesor 3 (nombre y afiliación)</t>
  </si>
  <si>
    <t>Assessor 3 (nome e filiação)</t>
  </si>
  <si>
    <t>Date of assessment (dd/mm/yyyy)</t>
  </si>
  <si>
    <t>Date de l'évaluation (jj / mm / aaaa)</t>
  </si>
  <si>
    <t>Fecha de evaluación (dd / mm / aaaa)</t>
  </si>
  <si>
    <t>Data de avaliação (dd / mm / aaaa)</t>
  </si>
  <si>
    <t xml:space="preserve">Laboratory/Hospital name </t>
  </si>
  <si>
    <t>Nom du laboratoire / de l'hôpital</t>
  </si>
  <si>
    <t>Nombre del laboratorio / hospital</t>
  </si>
  <si>
    <t xml:space="preserve">Nome do Laboratório / Hospital </t>
  </si>
  <si>
    <t>Address</t>
  </si>
  <si>
    <t>Adresse</t>
  </si>
  <si>
    <t>Dirección</t>
  </si>
  <si>
    <t>Endereço</t>
  </si>
  <si>
    <t>City</t>
  </si>
  <si>
    <t>Ville</t>
  </si>
  <si>
    <t>Ciudad</t>
  </si>
  <si>
    <t>Cidade</t>
  </si>
  <si>
    <t>Province</t>
  </si>
  <si>
    <t>Provincia</t>
  </si>
  <si>
    <t>Província</t>
  </si>
  <si>
    <t>District</t>
  </si>
  <si>
    <t>Distrito</t>
  </si>
  <si>
    <t>GPS position of the laboratory (used for GIS representation of indicators). PLEASE ONLY USE DIGITAL DEGREE WITH + OR - SIGN. DO NOT USE DEGREES, MINUTES, SECONDS</t>
  </si>
  <si>
    <t>Position GPS du laboratoire (utilisée pour la représentation des indicateurs par SIG). VEUILLEZ UTILISER UNIQUEMENT UN CHIFFRE AVEC LE SIGNE + OU -. N'UTILISEZ PAS LA NOTATION: DEGRÉS, MINUTE, SECONDE</t>
  </si>
  <si>
    <t>Posición GPS del laboratorio (utilizada para la representación GIS de indicadores). UTILICE SOLO COORDENADAS DECIMALES CON SIGNO + O -. NO UTILICE COORDENADAS SEXAGESIMALES (GRADOS, MINUTOS, SEGUNDOS)</t>
  </si>
  <si>
    <t>Posição GPS do laboratório (utilizado para a representação GIS de indicadores). UTILIZE SOMENTE COORDENADAS DE GRAU DECIMAL COM O SINAL  + OU -. NÃO UTILIZE COORDENADAS  SEXAGESIMAIS (GRAUS, MINUTOS, SEGUNDOS)</t>
  </si>
  <si>
    <t>For altitude, enter meters without digits.                                                   Altitude</t>
  </si>
  <si>
    <t>Pour l'altitude, entrez des mètres sans chiffres après la virgule.</t>
  </si>
  <si>
    <t>Para la altitud, introduzca metros sin cifras.</t>
  </si>
  <si>
    <t>Para altitude, Insira metros sem dígitos.</t>
  </si>
  <si>
    <t>Example: If altitude is 61.49 meters, enter 61</t>
  </si>
  <si>
    <t>Exemple: si l'altitude est de 61,49 mètres, entrez 61</t>
  </si>
  <si>
    <t>Ejemplo: si la altitud es de 61.49 metros, ingrese 61</t>
  </si>
  <si>
    <t>Exemplo: se a altitude for 61,49 metros, digite 61</t>
  </si>
  <si>
    <t>For latitude, enter digital degrees with 5 digits after the comma.           Latitude</t>
  </si>
  <si>
    <t xml:space="preserve">Pour la latitude, entrez 5 degrés numériques après la virgule. </t>
  </si>
  <si>
    <t>Para la latitud, introduzca coordenadas decimales con 5 cifras después de la coma.</t>
  </si>
  <si>
    <t>Para latitude, Insira coordenadas decimais com 5 dígitos após a vírgula.</t>
  </si>
  <si>
    <t>Example: 41,40338</t>
  </si>
  <si>
    <t>Exemple: 41,40338</t>
  </si>
  <si>
    <t>Ejemplo: 41,40338</t>
  </si>
  <si>
    <t>Exemplo: 41,40338</t>
  </si>
  <si>
    <t>For longitude, enter digital degrees with 5 digits after the comma.    Longitude</t>
  </si>
  <si>
    <t>Pour la longitude, entrez 5 degrés numériques après la virgule.</t>
  </si>
  <si>
    <t>Para la longitud, introduzca coordenadas decimales con 5 cifras después de la coma.</t>
  </si>
  <si>
    <t>Para longitude, Insira coordenadas decimais com 5 dígitos após a vírgula.</t>
  </si>
  <si>
    <t>Example: -2,17403</t>
  </si>
  <si>
    <t>Exemple: -2,17403</t>
  </si>
  <si>
    <t>Ejemplo: -2,17403</t>
  </si>
  <si>
    <t>Exemplo: -2,17403</t>
  </si>
  <si>
    <t>Contact information of the relevant bacteriology laboratory leadership; e.g., Director, Manager, Supervisor, Section Head, Quality Officer</t>
  </si>
  <si>
    <t>Coordonnées de la direction du laboratoire de bactériologie: Directeur, responsable, superviseur, chef de section, responsable de la qualité.</t>
  </si>
  <si>
    <t>Información de contacto del responsable más relevante del laboratorio de bacteriología; Ej., Director, Gerente, Supervisor, Jefe de Sección, Responsable de Calidad</t>
  </si>
  <si>
    <t>Informações de contato do responsável mais relevante do laboratório de bacteriologia. Ex.Diretor, Gerente, Supervisor, Chefe de Sessão, Responsável pela Qualidade</t>
  </si>
  <si>
    <t>Title/Position</t>
  </si>
  <si>
    <t>Titre / Position</t>
  </si>
  <si>
    <t>Título / Puesto</t>
  </si>
  <si>
    <t>Título / Posição</t>
  </si>
  <si>
    <t>Head of Micro Lab</t>
  </si>
  <si>
    <t>Chef du laboratoire de microbiologie</t>
  </si>
  <si>
    <t>Responsable del Laboratorio de Microbiología</t>
  </si>
  <si>
    <t>Responsável pelo Laboratório de Microbiologia</t>
  </si>
  <si>
    <t>Head Technician</t>
  </si>
  <si>
    <t>Technicien en chef</t>
  </si>
  <si>
    <t>Responsable técnico</t>
  </si>
  <si>
    <t>Responsável Técnico</t>
  </si>
  <si>
    <t>Lab Sicentist</t>
  </si>
  <si>
    <t>Scientifique du laboratoire</t>
  </si>
  <si>
    <t>Científico de laboratorio</t>
  </si>
  <si>
    <t>Cientista do Laboratório</t>
  </si>
  <si>
    <t>Head Culture Room</t>
  </si>
  <si>
    <t>Responsalbe de la salle de la culture</t>
  </si>
  <si>
    <t>Responsable del Laboratorio de cultivos</t>
  </si>
  <si>
    <t>Responsável pelo Laboratório de Culturas</t>
  </si>
  <si>
    <t>Primary Laboratory/Facility funding sources</t>
  </si>
  <si>
    <t>Sources principale de financement du laboratoire / batiment</t>
  </si>
  <si>
    <t>Fuentes primarias de financiación del Laboratorio / Centro</t>
  </si>
  <si>
    <t>Fontes primárias de financiamento do Laboratório/ Instituição</t>
  </si>
  <si>
    <t>1. Public/Government</t>
  </si>
  <si>
    <t>1. Public / Gouvernement</t>
  </si>
  <si>
    <t>1. Público / Gobierno</t>
  </si>
  <si>
    <t>1. Público / Governo</t>
  </si>
  <si>
    <t>2. Private</t>
  </si>
  <si>
    <t>2. Privé</t>
  </si>
  <si>
    <t>2. Privado</t>
  </si>
  <si>
    <t>3. NGO/Faith-based/Donors</t>
  </si>
  <si>
    <t>3. ONG / Organisation confessionnelle / donateurs</t>
  </si>
  <si>
    <t>3. ONG / Iglesia / Donantes</t>
  </si>
  <si>
    <t>3. ONG / Missão / Doadores</t>
  </si>
  <si>
    <t>4. Other</t>
  </si>
  <si>
    <t>4. Autre</t>
  </si>
  <si>
    <t>4. Otra</t>
  </si>
  <si>
    <t>4. Outra</t>
  </si>
  <si>
    <t>Primary Laboratory affiliation</t>
  </si>
  <si>
    <t>Affiliation primaire du laboratoire</t>
  </si>
  <si>
    <t>Afiliación primaria del Laboratorio</t>
  </si>
  <si>
    <t xml:space="preserve">Afiliação Primária do Laboratório </t>
  </si>
  <si>
    <t>1. Hospital: University Medical Center or Teaching Hospital</t>
  </si>
  <si>
    <t>1. Hôpital: centre hospitalier universitaire</t>
  </si>
  <si>
    <t>1. Hospital: Centro Médico Universitario u Hospital Universitario</t>
  </si>
  <si>
    <t xml:space="preserve">1. Hospital: Centro Médico Universitário ou Hospital Universitário </t>
  </si>
  <si>
    <t>2. Hospital: Military</t>
  </si>
  <si>
    <t>2. Hôpital: militaire</t>
  </si>
  <si>
    <t>2. Hospital: Militar</t>
  </si>
  <si>
    <t>3. Hospital: (not academic or military)</t>
  </si>
  <si>
    <t>3. Hôpital: (ni universitaire ni militaire)</t>
  </si>
  <si>
    <t>3. Hospital: (no académico ni militar)</t>
  </si>
  <si>
    <t>3. Hospital: (não acadêmico nem militar)</t>
  </si>
  <si>
    <t>4. Clinic (primarily outpatient)</t>
  </si>
  <si>
    <t>4. Clinique (principalement ambulatoire)</t>
  </si>
  <si>
    <t>4. Clínica (principalmente ambulatoria)</t>
  </si>
  <si>
    <t>4. Clínica (principalmente ambulatório)</t>
  </si>
  <si>
    <t>5. Reference/referral lab within a Public Health Institute</t>
  </si>
  <si>
    <t>5. Laboratoire de référence au sein d'un institut de santé publique</t>
  </si>
  <si>
    <t>5. Laboratorio de referencia dentro de un Instituto de Salud Pública</t>
  </si>
  <si>
    <t>5. Laboratório de referência dentro de um Instituto de Saúde Pública</t>
  </si>
  <si>
    <t>6. Reference/referral lab not affiliated with a single healthcare facility or public health institute</t>
  </si>
  <si>
    <t>6. Laboratoire de référence  non affilié à un seul établissement de santé/soin ou institut de santé publique</t>
  </si>
  <si>
    <t>6. Laboratorio de referencia no afiliado a un centro de salud o instituto de salud pública</t>
  </si>
  <si>
    <t>6. Laboratório de referência não afiliado a uma unidade sanitária individual ou instituto de saúde pública</t>
  </si>
  <si>
    <t>7. Other, e.g., Research Laboratory</t>
  </si>
  <si>
    <t>7. Autre, par exemple, laboratoire de recherche</t>
  </si>
  <si>
    <t>7. Otra, Ej., Laboratorio de investigación</t>
  </si>
  <si>
    <t xml:space="preserve">7. Outro, Ex. Laboratório de Pesquisa </t>
  </si>
  <si>
    <t>Laboratory/Facility Level (if primarily government funded)</t>
  </si>
  <si>
    <t>Niveau du laboratoire / de la structure (si principalement financé par le gouvernement)</t>
  </si>
  <si>
    <t>Nivel del Laboratorio / Centro (si está financiado principalmente por el gobierno)</t>
  </si>
  <si>
    <t>Nível do Laboratório / Instituição (se está principalmente financiada pelo governo)</t>
  </si>
  <si>
    <t>1. National</t>
  </si>
  <si>
    <t>1. Nacional</t>
  </si>
  <si>
    <t xml:space="preserve">2. Regional </t>
  </si>
  <si>
    <t>2. Régional</t>
  </si>
  <si>
    <t>2. Regional</t>
  </si>
  <si>
    <t>3. Provincial</t>
  </si>
  <si>
    <t>4. District</t>
  </si>
  <si>
    <t>4. Distrito</t>
  </si>
  <si>
    <t>4. Distrital</t>
  </si>
  <si>
    <t>5. NA</t>
  </si>
  <si>
    <t>Service level of the Hospital/Healthcare Facility</t>
  </si>
  <si>
    <t>Niveau de service de l'hôpital / établissement de santé</t>
  </si>
  <si>
    <t>Nivel de servicio del Hospital / Centro sanitario</t>
  </si>
  <si>
    <t>Nível de serviço do Hospital / Unidade sanitária</t>
  </si>
  <si>
    <t>1. Primary</t>
  </si>
  <si>
    <t>1. primaire</t>
  </si>
  <si>
    <t>1. Primario</t>
  </si>
  <si>
    <t>1. Primário</t>
  </si>
  <si>
    <t>2. Secondary</t>
  </si>
  <si>
    <t>2. secondaire</t>
  </si>
  <si>
    <t>2. Secundario</t>
  </si>
  <si>
    <t>2. Secundário</t>
  </si>
  <si>
    <t>3. Tertiary</t>
  </si>
  <si>
    <t>3. Tertiaire</t>
  </si>
  <si>
    <t>3. Terciario</t>
  </si>
  <si>
    <t>3. Terciário</t>
  </si>
  <si>
    <t>4. Otro</t>
  </si>
  <si>
    <t>4. Outro</t>
  </si>
  <si>
    <t>Number of beds of the Hospital/Healthcare Facility</t>
  </si>
  <si>
    <t>Nombre de lits de l'hôpital / établissement de santé</t>
  </si>
  <si>
    <t>Número de camas del Hospital / Centro sanitario</t>
  </si>
  <si>
    <t>Número de leitos do Hospital / Unidade sanitária</t>
  </si>
  <si>
    <r>
      <t>(</t>
    </r>
    <r>
      <rPr>
        <u/>
        <sz val="10"/>
        <color theme="1"/>
        <rFont val="Calibri"/>
        <family val="2"/>
        <scheme val="minor"/>
      </rPr>
      <t>&lt;</t>
    </r>
    <r>
      <rPr>
        <sz val="10"/>
        <color theme="1"/>
        <rFont val="Calibri"/>
        <family val="2"/>
        <scheme val="minor"/>
      </rPr>
      <t>100, 100-499, 500-1000, &gt;1000, NA)</t>
    </r>
  </si>
  <si>
    <t>Please note: all questions refer only to clinical patient specimens, NOT to environmental or research specimens</t>
  </si>
  <si>
    <t>Remarque: toutes les questions ne concernent que les échantillons de patients, PAS les échantillons environnementaux NI de recherche.</t>
  </si>
  <si>
    <t>Nota: todas las preguntas se refieren solo a muestras clínicas de pacientes, NO a muestras ambientales o de investigación</t>
  </si>
  <si>
    <t>Atenção: todas as questões referem-se apenas a amostras clínicas de pacientes, NÃO para amostras ambientais ou de pesquisa</t>
  </si>
  <si>
    <t>TEST MENU and WORKLOAD</t>
  </si>
  <si>
    <t>CATALOGUE D'ANALYSES ET CHARGE DE TRAVAIL</t>
  </si>
  <si>
    <t>LISTADO DE PRUEBAS DEL LABORATORIO y CARGA DE TRABAJO</t>
  </si>
  <si>
    <t xml:space="preserve">LISTA DE TESTES LABORATORIAIS e CARGA DE TRABALHO </t>
  </si>
  <si>
    <t>Does the lab perform the following types of culture?</t>
  </si>
  <si>
    <t>Le laboratoire effectue-t-il les types de culture suivants?</t>
  </si>
  <si>
    <t>¿El laboratorio realiza los siguientes tipos de cultivo?</t>
  </si>
  <si>
    <t>O laboratório realiza os seguintes tipos de cultura?</t>
  </si>
  <si>
    <t>In the # cultures last year column, please enter the total number of cultures performed last year, both positive and negative</t>
  </si>
  <si>
    <t>Dans la colonne #/année, veuillez entrer le nombre total de cultures effectuées l'année dernière incluant les résultats positifs et négatifs.</t>
  </si>
  <si>
    <t>En la columna #/año, introduzca el número total de cultivos realizados el año pasado, tanto positivos como negativos.</t>
  </si>
  <si>
    <t>Na coluna # / ano, insira o número total de culturas realizadas no ano passado, tanto positivas como negativas</t>
  </si>
  <si>
    <t>Hémocultures</t>
  </si>
  <si>
    <t>Stool Cultures (all bacterial enteric pathogens)</t>
  </si>
  <si>
    <t>Coprocultures (tous les agents pathogènes entériques bactériens)</t>
  </si>
  <si>
    <t>Coprocultivos (todos los patógenos entéricos bacterianos)</t>
  </si>
  <si>
    <t>Coproculturas (todos os patógenos entéricos  bacterianos)</t>
  </si>
  <si>
    <t>Please indicate if the lab performs stool culture for the following enteric pathogens. Do not enter the number of cultures.</t>
  </si>
  <si>
    <t>Veuillez indiquer si le laboratoire recherche en culture les agents pathogènes entériques suivants. N'entrez pas le nombre de cultures.</t>
  </si>
  <si>
    <t>Indique si el laboratorio realiza un coprocultivo para los siguientes patógenos entéricos. No introduzca el número de cultivos.</t>
  </si>
  <si>
    <t>Por favor indique se o laboratório realiza cultura de fezes para os seguintes patógenos entéricos. Não Insira o número de culturas.</t>
  </si>
  <si>
    <t>Salmonella and/or Shigella</t>
  </si>
  <si>
    <t>Salmonella et / ou Shigella</t>
  </si>
  <si>
    <t>Salmonella y/o Shigella</t>
  </si>
  <si>
    <t>Salmonella e / ou Shigella</t>
  </si>
  <si>
    <t>Vibrio cholerae</t>
  </si>
  <si>
    <t>Yersinia enterocolitica</t>
  </si>
  <si>
    <t>Yersinia enterocolítica</t>
  </si>
  <si>
    <t>Campylobacter jejuni</t>
  </si>
  <si>
    <t>Enterohemorrhagic/Enterotoxic E. coli (e.g., O157:H7)</t>
  </si>
  <si>
    <t>E. coli entérohémorragique / entérotoxinogène (par exemple, O157: H7)</t>
  </si>
  <si>
    <t>E. coli enterohemorrágico / enterotoxigénico (Ej., O157: H7)</t>
  </si>
  <si>
    <t>E. coli Enterohemorrágica / enterotoxigênica (Ex.,O157: H7)</t>
  </si>
  <si>
    <t>Respiratory Cultures (not TB/AFB)</t>
  </si>
  <si>
    <t>Cultures respiratoires (pas TB / AFB)</t>
  </si>
  <si>
    <t>Cultivos respiratorios (no TB / AFB)</t>
  </si>
  <si>
    <t>Culturas Respiratórias (não TB / BAAR)</t>
  </si>
  <si>
    <t>Cultures de liquide céphalo-rachidien</t>
  </si>
  <si>
    <t>Sterile Body Fluid Cultures (pleural, pericardial, peritoneal, synovial)</t>
  </si>
  <si>
    <t>Cultures de liquides biologiques stériles (pleural, péricardique, péritonéal, synovial)</t>
  </si>
  <si>
    <t>Cultivos de fluidos corporales estériles (pleural, pericárdico, peritoneal, sinovial)</t>
  </si>
  <si>
    <t>Culturas de Fluidos Corporais Estéreis  (pleural, pericárdico, peritoneal, sinovial)</t>
  </si>
  <si>
    <t>Cultures de prélèvements génitaux</t>
  </si>
  <si>
    <t>Cultivos  de anaerobios</t>
  </si>
  <si>
    <t>Culturas de  Anaeróbios</t>
  </si>
  <si>
    <t>Culturas de Fungos (leveduras)</t>
  </si>
  <si>
    <t>Culturas de Fungos (mofo)</t>
  </si>
  <si>
    <t>MRSA screen for Infection Control purposes (e.g., nares, axilla, groin)</t>
  </si>
  <si>
    <t>Dépistage de portage de SARM (Ex. Narines, aisselles, aine)</t>
  </si>
  <si>
    <t>Búsqueda de SARM para control de infecciones (Ej., Narinas, axilas, ingle)</t>
  </si>
  <si>
    <t>Pesquisa de MRSA para fins de controle de infecção (Ex., narinas, axila, virilha)</t>
  </si>
  <si>
    <t>VRE screen for Infection Control purposes (e.g., rectal swab)</t>
  </si>
  <si>
    <t>Dépistage de portage d'ERV (Ex. Écouvillon rectal)</t>
  </si>
  <si>
    <t>Búsqueda de ERV para control de infecciones (Ej., hisopo rectal)</t>
  </si>
  <si>
    <t>Pesquisa de VRE para fins de controle de infecção (ex. swab retal)</t>
  </si>
  <si>
    <t>CRE screen (e.g., rectal swab)</t>
  </si>
  <si>
    <t>Dépisatge de portage d'Enterobactéries résistantes aux C3G (par exemple écouvillon rectal)</t>
  </si>
  <si>
    <t>Búsqueda de ERC (Ej., hisopo rectal)</t>
  </si>
  <si>
    <t>Pesquisa de CRE (ex. swab retal)</t>
  </si>
  <si>
    <t>Identification and/or AST of isolates referred from other laboratories</t>
  </si>
  <si>
    <t>Identification et / ou TSA d'isolats provenant d'autres laboratoires</t>
  </si>
  <si>
    <t>Identificación y/o PSA en aislados enviados por otros laboratorios.</t>
  </si>
  <si>
    <t>Identificação e/ou TSA dos isolados enviados por outros laboratórios</t>
  </si>
  <si>
    <t>Other cultures of local importance (opportunity to customize via comments)</t>
  </si>
  <si>
    <t>Autres cultures d'importance locale (possibilité de personnaliser via des commentaires)</t>
  </si>
  <si>
    <t>Otros cultivos de importancia local (oportunidad de personalizar introduciendo comentarios)</t>
  </si>
  <si>
    <t>Outras culturas de importância local (oportunidade de personalizar através de comentários)</t>
  </si>
  <si>
    <t xml:space="preserve">AST/AMR METHODS AND WORKLOAD </t>
  </si>
  <si>
    <t>MÉTHODES DE TSA / RAM ET CHARGE DE TRAVAIL</t>
  </si>
  <si>
    <t>MÉTODOS PSA/RAM Y CARGA DE TRABAJO</t>
  </si>
  <si>
    <t xml:space="preserve">MÉTODOS TSA/RAM E CARGA DE TRABALHO </t>
  </si>
  <si>
    <t xml:space="preserve">Which manual AST methods are in use? </t>
  </si>
  <si>
    <t>Quelles méthodes de TSA manuelles sont utilisées?</t>
  </si>
  <si>
    <t>¿Qué métodos manuales de PSA están en uso?</t>
  </si>
  <si>
    <t xml:space="preserve">Que métodos manuais de TSA estão em uso? </t>
  </si>
  <si>
    <t>In the # organisms last year column, please enter the approximate number of organisms tested using each method, not the number of antibiotics tested</t>
  </si>
  <si>
    <t>Dans la colonne nbr #/année, veuillez entrer le nombre approximatif d'organismes testés en utilisant chaque méthode et non le nombre d'antibiotiques testés</t>
  </si>
  <si>
    <t>En la columna #/año, introduzca el número aproximado de organismos analizados con cada método, no el número de antibióticos analizados.</t>
  </si>
  <si>
    <t>Na coluna #/ano, insira o número aproximado dos organismos testados usando cada método, não o número de antibióticos testados</t>
  </si>
  <si>
    <t>Diffusion (disques d'antibiotiques)</t>
  </si>
  <si>
    <t>Tiras de gradiente (Ej., Etest / Liofilchem)</t>
  </si>
  <si>
    <t>Tiras de Gradiente (Ex. Etest / Liofilchem)</t>
  </si>
  <si>
    <t>Microdiluição em caldo (placa com 96 poços)</t>
  </si>
  <si>
    <t>Macrodilultion milieu liquide (méthode en tube)</t>
  </si>
  <si>
    <t>Diluição de ágar</t>
  </si>
  <si>
    <t xml:space="preserve">Which automated AST methods are in use? </t>
  </si>
  <si>
    <t>Quelles méthodes de TSA automatisées sont utilisées?</t>
  </si>
  <si>
    <t>¿Qué métodos automatizados de PSA están en uso?</t>
  </si>
  <si>
    <t xml:space="preserve">Quais métodos automatizados de TSA estão em uso? </t>
  </si>
  <si>
    <t>Dans la colonne #/année, veuillez entrer le nombre approximatif d'organismes testés en utilisant chaque méthode, pas le nombre d'antibiotiques testés</t>
  </si>
  <si>
    <t>Na coluna # / ano, insira o número aproximado dos organismos testados usando cada método, não o número de antibióticos testados</t>
  </si>
  <si>
    <t>Vitek</t>
  </si>
  <si>
    <t>Phoenix</t>
  </si>
  <si>
    <t>Microscan</t>
  </si>
  <si>
    <t>Other, please specify in comments.</t>
  </si>
  <si>
    <t>Autre, veuillez spécifier dans les commentaires.</t>
  </si>
  <si>
    <t>Otro, por favor especifique en los comentarios.</t>
  </si>
  <si>
    <t>Outro, por favor especifique nos comentários.</t>
  </si>
  <si>
    <t>Does the lab use chromagar to detect antibiotic resistant organisms?</t>
  </si>
  <si>
    <t>Le laboratoire utilise-t-il des géloses chromogènesr pour détecter des organismes résistants aux antibiotiques?</t>
  </si>
  <si>
    <t>¿Utiliza el laboratorio CHROMagar para detectar organismos resistentes a los antibióticos?</t>
  </si>
  <si>
    <t>O laboratório  utiliza  CHROMagar para detectar organismos resistentes aos antibióticos?</t>
  </si>
  <si>
    <t>In the # organisms last year column, please enter the approximate number of organisms tested using each method</t>
  </si>
  <si>
    <t>Dans la colonne #/année, veuillez entrer le nombre approximatif d'organismes testés en utilisant chaque méthode.</t>
  </si>
  <si>
    <t>En la columna #/año, introduzca la cantidad aproximada de organismos analizados con cada método</t>
  </si>
  <si>
    <t>Na coluna # / ano, deve inserir o número aproximado de organismos testados usando cada método</t>
  </si>
  <si>
    <t>ESBL producers</t>
  </si>
  <si>
    <t>Producteurs de BLSE</t>
  </si>
  <si>
    <t>Productores de BLEE</t>
  </si>
  <si>
    <t>Produtores de ESBL</t>
  </si>
  <si>
    <t>CRE/Carbapenemases</t>
  </si>
  <si>
    <t>ERC / Carbapénémases</t>
  </si>
  <si>
    <t>ERC/Carbapenemasas</t>
  </si>
  <si>
    <t>CRE /Carbapenemases</t>
  </si>
  <si>
    <t>MRSA</t>
  </si>
  <si>
    <t>SARM</t>
  </si>
  <si>
    <t>VRE</t>
  </si>
  <si>
    <t>ERV</t>
  </si>
  <si>
    <t>Colistin resistance</t>
  </si>
  <si>
    <t>Résistance à la colistine</t>
  </si>
  <si>
    <t>Resistencia a la colistina</t>
  </si>
  <si>
    <t>Resistência a colistina</t>
  </si>
  <si>
    <t>Does the lab use PCR to detect antibiotic resistance genes?</t>
  </si>
  <si>
    <t>Le laboratoire utilise-t-il la PCR pour détecter les gènes de résistance aux antibiotiques?</t>
  </si>
  <si>
    <t>¿Utiliza el laboratorio PCR para detectar genes de resistencia a antibióticos?</t>
  </si>
  <si>
    <t>O laboratório  utiliza PCR para detectar os genes de resistência aos antibióticos?</t>
  </si>
  <si>
    <t>In the #/year column, please enter the approximate number of organisms tested using each method</t>
  </si>
  <si>
    <t>Na coluna # / ano, insira  o número aproximado de organismos testados usando cada método</t>
  </si>
  <si>
    <t>ESBLs</t>
  </si>
  <si>
    <t>BLSE</t>
  </si>
  <si>
    <t>BLEE</t>
  </si>
  <si>
    <t>Carbapenemases</t>
  </si>
  <si>
    <t>Carbapénémases</t>
  </si>
  <si>
    <t>Carbapenemasas</t>
  </si>
  <si>
    <t xml:space="preserve">mecA </t>
  </si>
  <si>
    <t>mecA</t>
  </si>
  <si>
    <t>vanA/vanB</t>
  </si>
  <si>
    <t>vanA / vanB</t>
  </si>
  <si>
    <t>vanA /vanB</t>
  </si>
  <si>
    <t>mcr-1</t>
  </si>
  <si>
    <t>LABORATORY STAFF EDUCATION/TRAINING</t>
  </si>
  <si>
    <t xml:space="preserve"> FORMATION DU PERSONNEL DE LABORATOIRE</t>
  </si>
  <si>
    <t>EDUCACIÓN / FORMACIÓN DEL PERSONAL DE LABORATORIO</t>
  </si>
  <si>
    <t xml:space="preserve">EDUCAÇÃO/TREINAMENTO DO PESSOAL DO LABORATÓRIO </t>
  </si>
  <si>
    <t xml:space="preserve">Among laboratory leadership and the technical staff in bacteriology, indicate the number that fall into each training level category. </t>
  </si>
  <si>
    <t>Parmi les responsables de laboratoire et le personnel technique en bactériologie, indiquez le nombre correspondant à chaque catégorie de niveau de formation.</t>
  </si>
  <si>
    <t>Indique el número de empleados del laboratorio de bacteriología (abarcando desde responsables a técnicos) que hay en cada una de las siguientes categorías de nivel de formación:.</t>
  </si>
  <si>
    <t xml:space="preserve">Indique o número de funcionários do laboratório de bacteriologia (incluindo de responsáveis a técnicos) que existem em cada uma das seguintes categorias de nível de  treinamento. </t>
  </si>
  <si>
    <t>Advanced degree in Medical Microbiology or Medical Laboratory Sciences (PhD, MD, equivalent)</t>
  </si>
  <si>
    <t>Título de Medicina especialidad Microbiología o Análisis Clínicos (PhD, MD, equivalente)</t>
  </si>
  <si>
    <t>Título de Doutor em Microbiologia Médica ou Análises Clínicas (PhD, MD/ equivalente)</t>
  </si>
  <si>
    <t>Advanced degree, other concentration (PhD, MD, equivalent)</t>
  </si>
  <si>
    <t>Título de Medicina, otra especialidad (PhD, MD, equivalente)</t>
  </si>
  <si>
    <t>Título de Doutor, outra especialidade (PhD, MD, equivalente)</t>
  </si>
  <si>
    <t>Postgraduate Master's degree in Microbiology or Medical Laboratory Sciences</t>
  </si>
  <si>
    <t>Diplôme en  en microbiologie médicale / médecine de laboratoire</t>
  </si>
  <si>
    <t>Graduate Bachelor's degree in Microbiology or Medical Laboratory Sciences</t>
  </si>
  <si>
    <t>Undergraduate Certificate or Diploma in Microbiology or Medical Laboratory Sciences</t>
  </si>
  <si>
    <t>Formation seulement au sein du laboratoire</t>
  </si>
  <si>
    <t>Number of staff with Microbiology or Medical Lab Science Training</t>
  </si>
  <si>
    <t>Nombre d'employés ayant suivi une formation en microbiologie ou médecine de laboratoire</t>
  </si>
  <si>
    <t>Número de empleados con formación en Microbiología o Análisis Clínicos</t>
  </si>
  <si>
    <t>Número de pessoal com formação em  Microbiologia ou Análises Clínicas</t>
  </si>
  <si>
    <t>Number of staff with other training</t>
  </si>
  <si>
    <t>Nombre d'employés ayant une autre formation</t>
  </si>
  <si>
    <t>Número de personal con otra formación</t>
  </si>
  <si>
    <t>Número de pessoal com outra formação</t>
  </si>
  <si>
    <t>Proportion of staff with Microbiology or Medical Lab Science Training</t>
  </si>
  <si>
    <t>Proportion de personnel ayant suivi une formation en microbiologie ou médecine de laboratoire</t>
  </si>
  <si>
    <t>Proporción de personal con formación en Microbiología o Análisis Clínicos</t>
  </si>
  <si>
    <t xml:space="preserve">Proporção de pessoal com formação em Microbiologia ou Análises Clínicas </t>
  </si>
  <si>
    <t>Number of staff with a Graduate Bachelor's Degree or higher</t>
  </si>
  <si>
    <t>Nombre d'employés ayant un diplôme ou plus</t>
  </si>
  <si>
    <t>Número de empleados con un título de Grado/Licenciatura o superior</t>
  </si>
  <si>
    <t>Número de funcionários com título de Bacharel ou superior</t>
  </si>
  <si>
    <t>Number of staff with less than a Graduate Bachelor's Degree</t>
  </si>
  <si>
    <t>Nombre d'employés avec moins qu'un diplôme</t>
  </si>
  <si>
    <t>Número de empleados con un título inferior al Grado/Licenciatura</t>
  </si>
  <si>
    <t>Número de funcionários com título inferior ao de  Bacharel</t>
  </si>
  <si>
    <t>Proportion of staff with a Graduate Bachelor's Degree or higher</t>
  </si>
  <si>
    <t>Proportion de personnel ayant un diplôme ou plus</t>
  </si>
  <si>
    <t>Proporción de empleados con un título de Grado/Licenciatura o superior</t>
  </si>
  <si>
    <t>Proporção de funcionários com título de Bacharel ou superior</t>
  </si>
  <si>
    <t>QMS MENTORING PROGRAMS</t>
  </si>
  <si>
    <t>PROGRAMMES DE MENTORAT POUR LE SMQ</t>
  </si>
  <si>
    <t>PROGRAMAS DE MENTORÍA DE SISTEMAS DE GESTIÓN DE CALIDAD (SGC)</t>
  </si>
  <si>
    <t>PROGRAMAS DE MENTORIA DE SISTEMAS DE GESTÃO DA QUALIDADE (SGQ)</t>
  </si>
  <si>
    <t>Has the laboratory ever been enrolled in the SLIPTA program?</t>
  </si>
  <si>
    <t>Le laboratoire a-t-il déjà été inscrit au programme SLIPTA?</t>
  </si>
  <si>
    <t>¿Ha participado el laboratorio alguna vez en el programa SLIPTA (Sistema Escalonado de Mejora de la Calidad en los Laboratorios para su Acreditación)?</t>
  </si>
  <si>
    <t>O laboratório já participou alguma vez do programa SLIPTA/ FOGELA?</t>
  </si>
  <si>
    <t>If yes, when was the most recent certification awarded?</t>
  </si>
  <si>
    <t>Si oui, quand la certification la plus récente a-t-elle été attribuée?</t>
  </si>
  <si>
    <t>En caso afirmativo, ¿cuándo se otorgó la certificación más reciente?</t>
  </si>
  <si>
    <t>Se sim, quando recebeu a certificação mais recente?</t>
  </si>
  <si>
    <t>1: Within the past 2 years - 2: More than 2 years ago - 3: NA</t>
  </si>
  <si>
    <t>1: Au cours des 2 dernières années - 2: Il y a plus de 2 ans - 3: NA</t>
  </si>
  <si>
    <t>1: En los últimos 2 años - 2: Hace más de 2 años - 3: NA</t>
  </si>
  <si>
    <t>1: Nos últimos 2 anos - 2: Há mais de 2 anos  - 3: NA</t>
  </si>
  <si>
    <t>If yes, what is the star level of the latest SLIPTA audit?  Check the certificate.</t>
  </si>
  <si>
    <t>Si oui, quel est le niveau du dernier audit de SLIPTA? Vérifiez le certificat.</t>
  </si>
  <si>
    <r>
      <t xml:space="preserve">En caso afirmativo, ¿cuál es el nivel de </t>
    </r>
    <r>
      <rPr>
        <sz val="10"/>
        <rFont val="Calibri"/>
        <family val="2"/>
        <scheme val="minor"/>
      </rPr>
      <t>estrellas</t>
    </r>
    <r>
      <rPr>
        <sz val="10"/>
        <color rgb="FF000000"/>
        <rFont val="Calibri"/>
        <family val="2"/>
        <scheme val="minor"/>
      </rPr>
      <t xml:space="preserve"> de la última auditoría SLIPTA? Revise el certificado.</t>
    </r>
  </si>
  <si>
    <t>Se sim, qual é o nível de estrelas da auditoria SLIPTA mais recente? Verifique o certificado.</t>
  </si>
  <si>
    <t>(0: 0 stars; 1: 1 stars; 2: 2 stars, 3: 3 stars; 4: 4 stars; 5: 5 stars, NA)</t>
  </si>
  <si>
    <t>(0: 0 étoiles; 1: 1 étoiles; 2: 2 étoiles, 3: 3 étoiles; 4: 4 étoiles; 5: 5 étoiles, NA)</t>
  </si>
  <si>
    <t>(0: 0 estrellas; 1: 1 estrella; 2: 2 estrellas, 3: 3 estrellas; 4: 4 estrellas; 5: 5 estrellas, NA)</t>
  </si>
  <si>
    <t>(0: 0 estrelas, 1: 1 estrela, 2:2 estrelas, 3: 3 estrelas, 4: 4 estrelas, 5: 5 estrelas, NA)</t>
  </si>
  <si>
    <t>Has the laboratory ever been enrolled in the WHO LQSI program? What year?</t>
  </si>
  <si>
    <t>Le laboratoire a-t-il déjà été inscrit au programme LQSI de l'OMS? Quelle année?</t>
  </si>
  <si>
    <t>¿Se ha inscrito el laboratorio alguna vez en el programa LQSI de la OMS? ¿En qué año?</t>
  </si>
  <si>
    <t>O laboratório já participou alguma vez do  programa LQSI da OMS? Em que ano?</t>
  </si>
  <si>
    <t>If yes, what was the last overall % score for the 4 phases? What year?</t>
  </si>
  <si>
    <t>Si oui, quel était le dernier score global pour les 4 phases? Quelle année?</t>
  </si>
  <si>
    <t>En caso afirmativo, ¿cuál fue el último porcentaje general para las 4 fases? ¿En qué año?</t>
  </si>
  <si>
    <t>Se sim, qual foi o último percentual global (% )para as 4 fases? Em que ano?</t>
  </si>
  <si>
    <t>1: &gt;90%; 2: 70%-89%, 3: 50-69%, 4: &lt;50%, NA</t>
  </si>
  <si>
    <t>1:&gt; 90%; 2: 70% à 89%, 3: 50 à 69%, 4: &lt;50%, NA</t>
  </si>
  <si>
    <t>1:&gt; 90%; 2: 70% -89%, 3: 50-69%, 4: &lt;50%, NA</t>
  </si>
  <si>
    <t>1:&gt; 90%, 2: 70% -89%, 3: 50-69%, 4: &lt;50%, NA</t>
  </si>
  <si>
    <t>Has the laboratory ever been enrolled in any other mentoring program for Laboratory Quality Management (National, Regional, International)? When?</t>
  </si>
  <si>
    <t>Le laboratoire a-t-il déjà été inscrit à un autre programme de mentorat pour la gestion de la qualité de laboratoire (national, régional, international)? Quand?</t>
  </si>
  <si>
    <t>¿Se ha inscrito el laboratorio alguna vez en algún otro programa de mentoría para la Gestión de la Calidad del Laboratorio (Nacional, Regional, Internacional)? ¿Cuándo?</t>
  </si>
  <si>
    <t>O laboratório já participou alguma vez em algum outro programa de mentoria para a Gestão da Qualidade do Laboratório  (Nacional, Regional, Internacional)? Quando?</t>
  </si>
  <si>
    <t>ACCREDITATION and CERTIFICATION</t>
  </si>
  <si>
    <t>ACCRÉDITATION et CERTIFICATION</t>
  </si>
  <si>
    <t>ACREDITACIÓN Y CERTIFICACIÓN</t>
  </si>
  <si>
    <t>ACREDITAÇÃO E CERTIFICAÇÃO</t>
  </si>
  <si>
    <t>Does the lab possess a valid (current) ISO 15189 accreditation certificate for any of the following tests? (Confirm by reviewing certificate)</t>
  </si>
  <si>
    <t>Le laboratoire possède-t-il un certificat d'accréditation ISO 15189 valide (en cours de validité) pour l'un des tests suivants? (Confirmez en examinant le certificat)</t>
  </si>
  <si>
    <t>¿Posee el laboratorio un certificado de acreditación ISO 15189 válido (actualizado) para cualquiera de las siguientes pruebas? (Confirmar revisando el certificado)</t>
  </si>
  <si>
    <t>O laboratório possui um certificado de acreditação  ISO 15189 válido (atualizado) para qualquer um dos seguintes testes? (Confirmar verificando o certificado)</t>
  </si>
  <si>
    <t>Blood cultures</t>
  </si>
  <si>
    <t>Hemocultures</t>
  </si>
  <si>
    <t>Stool cultures</t>
  </si>
  <si>
    <t>Coprocultures</t>
  </si>
  <si>
    <t>Urine cultures</t>
  </si>
  <si>
    <t>Organism Identification</t>
  </si>
  <si>
    <t>Identification d'organisme</t>
  </si>
  <si>
    <t>Identificación de organismos</t>
  </si>
  <si>
    <t>Identificação de organismos</t>
  </si>
  <si>
    <t>Antibiotic Susceptibility Testing</t>
  </si>
  <si>
    <t>Test de sensibilité aux antibiotiques</t>
  </si>
  <si>
    <t>Pruebas de sensibilidad a antibióticos</t>
  </si>
  <si>
    <t xml:space="preserve">Teste de Sensibilidade aos Antibióticos </t>
  </si>
  <si>
    <t>Any other microbiology applied technique such as Gram staining?</t>
  </si>
  <si>
    <t>Toute autre technique de microbiologie telle que la coloration de Gram?</t>
  </si>
  <si>
    <t>¿Alguna otra técnica de microbiología aplicada, como la tinción de Gram?</t>
  </si>
  <si>
    <t>Alguma outra técnica de microbiologia aplicada como a coloração de Gram?</t>
  </si>
  <si>
    <t xml:space="preserve">Who awarded the most recent accreditation? (Review accreditation certificate and write name of accrediting body in comments) </t>
  </si>
  <si>
    <t>Qui a attribué la plus récente accréditation? (Examiner le certificat d’accréditation et écrire le nom de l’organisme d’accréditation dans les commentaires)</t>
  </si>
  <si>
    <t>¿Quién otorgó la acreditación más reciente? (Revise el certificado de acreditación y escriba el nombre del organismo de acreditación en los comentarios)</t>
  </si>
  <si>
    <t>Quem atribuiu a acreditação mais recente? (Revisar o certificado de acreditação e escrever o nome do órgão acreditador nos comentários)</t>
  </si>
  <si>
    <t>1: ILAC Full Member; 2: ILAC Associate Member; 3: ILAC Affiliate Member;  4: ILAC Stakeholder; 5: ILAC Regional Cooperation Body; 6: Other/Don't know; 7: National Accrediting Board; NA</t>
  </si>
  <si>
    <t>1: membre à part entière de l'ILAC; 2: membre associé d'ILAC; 3: membre affilié de l'ILAC; 4: acteur ILAC; 5: Organisme de coopération régionale de l'ILAC; 6: Autre / Je ne sais pas; 7: Conseil national d'accréditation; N / A</t>
  </si>
  <si>
    <t>1: Miembro de pleno derecho de ILAC; 2: miembro asociado de ILAC; 3: Miembro afiliado de ILAC; 4: accionista de ILAC; 5: Organismo de Cooperación Regional de ILAC; 6: Otro / No sé; 7: Junta Nacional de Acreditación; N/A</t>
  </si>
  <si>
    <t xml:space="preserve">1: Membro Titular do ILAC; 2: Membro Associado do ILAC; 3: Membro Afiliado do ILAC; 4: Parte Interessada do ILAC; 5: Organismo de Cooperação Regional do ILAC; 6: Outro / Não sabe; 7: Junta Nacional de Acreditação ;  N/A </t>
  </si>
  <si>
    <t>(ILAC = International Laboratory Accreditation Cooperation)</t>
  </si>
  <si>
    <t>(ILAC = Coopération internationale pour l’accréditation de laboratoires)</t>
  </si>
  <si>
    <t>(ILAC = Cooperación Internacional de Acreditación de Laboratorios)</t>
  </si>
  <si>
    <t xml:space="preserve">(ILAC = Cooperação Internacional de Acreditação de Laboratórios) </t>
  </si>
  <si>
    <t>First Name</t>
  </si>
  <si>
    <t>Prénom</t>
  </si>
  <si>
    <t>Nombre</t>
  </si>
  <si>
    <t>Primeiro Nome</t>
  </si>
  <si>
    <t>Last name</t>
  </si>
  <si>
    <t>Nom de famille</t>
  </si>
  <si>
    <t>Apellido</t>
  </si>
  <si>
    <t>Sobrenome/ Último Nome</t>
  </si>
  <si>
    <t>Email address</t>
  </si>
  <si>
    <t>Adresse électronique</t>
  </si>
  <si>
    <t>Dirección de correo electrónico</t>
  </si>
  <si>
    <t>Endereço de e-mail</t>
  </si>
  <si>
    <t>Comments</t>
  </si>
  <si>
    <t>commentaires</t>
  </si>
  <si>
    <t>Comentarios</t>
  </si>
  <si>
    <t>Comentários</t>
  </si>
  <si>
    <t>Y/N</t>
  </si>
  <si>
    <t xml:space="preserve"># cultures last year </t>
  </si>
  <si>
    <t>nbr cultures l'an dernier</t>
  </si>
  <si>
    <t># cultivos del año pasado</t>
  </si>
  <si>
    <t xml:space="preserve"># culturas no ano passado </t>
  </si>
  <si>
    <t xml:space="preserve"># organisms last year </t>
  </si>
  <si>
    <t>nbr organismes l'année dernière</t>
  </si>
  <si>
    <t># organismos del año pasado</t>
  </si>
  <si>
    <t xml:space="preserve"># organismos no ano passado </t>
  </si>
  <si>
    <t># staff</t>
  </si>
  <si>
    <t>nbr d'employés</t>
  </si>
  <si>
    <t># empleados</t>
  </si>
  <si>
    <t># funcionários</t>
  </si>
  <si>
    <t>This section will autopopulate, do not enter data</t>
  </si>
  <si>
    <t>Cette section sera automatiquement remplie, ne saisissez pas de données</t>
  </si>
  <si>
    <t>Esta sección se completará automáticamente, no ingrese datos</t>
  </si>
  <si>
    <t>Esta seção se completará automaticamente, não insira dados</t>
  </si>
  <si>
    <t>Year</t>
  </si>
  <si>
    <t>Année</t>
  </si>
  <si>
    <t>Año</t>
  </si>
  <si>
    <t>Ano</t>
  </si>
  <si>
    <t>Year awarded</t>
  </si>
  <si>
    <t>Année d'obtention</t>
  </si>
  <si>
    <t>Año en que se otorgó</t>
  </si>
  <si>
    <t>Ano concedido</t>
  </si>
  <si>
    <t>1- ETABLISSEMENT/BATIMENTS</t>
  </si>
  <si>
    <t xml:space="preserve">1- INSTALACIONES </t>
  </si>
  <si>
    <t>Please note: all questions refer to equipment that is used for clinical patient specimens, NOT equipment that is used only for research specimens</t>
  </si>
  <si>
    <t>Remarque: toutes les questions concernent l'équipement utilisé pour la prise en charge des échantillons cliniques de patients, PAS l'équipement utilisé uniquement pour les échantillons de recherche.</t>
  </si>
  <si>
    <t>Nota: todas las preguntas se refieren al equipo que se usa para muestras clínicas de pacientes, NO al equipo que se usa solo para muestras de investigación</t>
  </si>
  <si>
    <t>Atenção: todas as questões se referem a equipamentos que são usados para amostras clínicas do paciente, NÃO a equipamentos que são usados apenas para amostras de investigação (pesquisa)</t>
  </si>
  <si>
    <t>Observe the laboratory work benches, are they:</t>
  </si>
  <si>
    <t>Observez les paillasses du laboratoire, sont-elles:</t>
  </si>
  <si>
    <t>Observe las poyatas de trabajo del laboratorio, están:</t>
  </si>
  <si>
    <t>Observe as bancadas de trabalho de laboratório, são elas:</t>
  </si>
  <si>
    <t>Separate from patient care areas</t>
  </si>
  <si>
    <t>Séparées des zones de soins aux patients</t>
  </si>
  <si>
    <t>¿Separadas de las áreas de atención al paciente?</t>
  </si>
  <si>
    <t>Separadas das áreas de atendimento ao paciente</t>
  </si>
  <si>
    <t>Organized with minimal clutter?</t>
  </si>
  <si>
    <t>Organisées avec un encombrement minimal?</t>
  </si>
  <si>
    <t>¿Organizadas con el mínimo desorden?</t>
  </si>
  <si>
    <t>Organizadas com o mínimo de desordem?</t>
  </si>
  <si>
    <t>Adequately ventilated?</t>
  </si>
  <si>
    <t>Adéquatement ventilées?</t>
  </si>
  <si>
    <t>¿Adecuadamente ventiladas?</t>
  </si>
  <si>
    <t>Devidamente ventiladas?</t>
  </si>
  <si>
    <t>Free of excess moisture?</t>
  </si>
  <si>
    <t>Sans humidité excessive?</t>
  </si>
  <si>
    <t>¿Libres de exceso de humedad?</t>
  </si>
  <si>
    <t>Livres do excesso de umidade?</t>
  </si>
  <si>
    <t>Adequately lit?</t>
  </si>
  <si>
    <t>Adéquatement éclairées?</t>
  </si>
  <si>
    <t>¿Iluminadas adecuadamente?</t>
  </si>
  <si>
    <t>Iluminadas adequadamente?</t>
  </si>
  <si>
    <t>Does the laboratory have a functional heating/air conditioning system?</t>
  </si>
  <si>
    <t>Le laboratoire dispose-t-il d'un système de chauffage / climatisation fonctionnel?</t>
  </si>
  <si>
    <t>¿Tiene el laboratorio un sistema funcional de calefacción / aire acondicionado?</t>
  </si>
  <si>
    <t>O laboratório possui um sistema funcional de ar condicionado/ aquecimento?</t>
  </si>
  <si>
    <t>Is the temperature in the laboratory maintained between 20°-25°C?</t>
  </si>
  <si>
    <t>La température dans le laboratoire est-elle maintenue entre 20 ° et 25 ° C?</t>
  </si>
  <si>
    <t>¿Se mantiene la temperatura en el laboratorio entre 20°-25° C?</t>
  </si>
  <si>
    <t>A temperatura do laboratório é mantida entre 20°-25°C?</t>
  </si>
  <si>
    <t>Are all critical equipment (instruments, refrigerators, freezers, incubators, computers, automated instruments) supported by a functioning generator?</t>
  </si>
  <si>
    <t>Est-ce que tous les équipements critiques (instruments, réfrigérateurs, congélateurs, incubateurs, ordinateurs, instruments automatisés) sont alimentés par un générateur en fonctionnement?</t>
  </si>
  <si>
    <t>¿Están todos los equipos críticos (instrumentos, refrigeradores, congeladores, estufas, ordenadores, instrumentos automatizados) conectados a un generador que funcione?</t>
  </si>
  <si>
    <t>Todos os equipamentos críticos (instrumentos, refrigeradores, congeladores, estufas, computadores, instrumentos automatizados) são suportados por um gerador em funcionamento?</t>
  </si>
  <si>
    <t>Are all critical pieces of equipment attached to uninterrupted power source (UPS) devices? (These provide temporary power until the generator can be activated)</t>
  </si>
  <si>
    <t>Tous les équipements critiques sont-ils connectés à des dispositifs d'alimentation sans coupure (UPS)? (Ceux-ci fournissent une alimentation temporaire jusqu'à ce que le générateur puisse être mis en route)</t>
  </si>
  <si>
    <t>¿Están todos los equipos críticos conectados a sistemas de alimentación ininterrumpida (SAI)? (Estos proporcionan energía temporal hasta que se pueda activar el generador)</t>
  </si>
  <si>
    <t>Todos os equipamentos críticos estão conectados a fontes de alimentação ininterruptas (UPS)? (Estes fornecem energia temporária até que o gerador possa ser ativado)</t>
  </si>
  <si>
    <t>In the last 6 months, has prolonged power failure disrupted the ability to provide routine bacteriology services?</t>
  </si>
  <si>
    <t>Au cours des 6 derniers mois, une panne de courant prolongée a-t-elle perturbé la capacité de fournir des services bactériologiques de routine?</t>
  </si>
  <si>
    <t>En los últimos 6 meses, ¿se ha interrumpido la capacidad de proporcionar servicios bacteriológicos de rutina debido a un corte prolongado del suministro eléctrico?</t>
  </si>
  <si>
    <t>Nos últimos 6 meses, houve interrupção na capacidade de fornecer serviços bacteriológicos de rotina devido a uma interrupção prolongada de energia elétrica?</t>
  </si>
  <si>
    <t>Is there a contingency plan in place for continued testing in the event of prolonged electricity disruption (e.g., power outage lasting several days)?</t>
  </si>
  <si>
    <t>Existe-t-il un plan d'urgence permettant de poursuivre les tests en cas de panne d'électricité prolongée (par exemple, une panne de courant de plusieurs jours)?</t>
  </si>
  <si>
    <t>¿Existe un plan de contingencia en vigor para trabajar de manera continuada en caso de un corte prolongado de la electricidad (Ej., corte de energía que dure varios días)?</t>
  </si>
  <si>
    <t>Existe um plano de contingência em vigor para trabalhar de maneira continuada em caso de interrupção prolongada de energia elétrica (ex. falta de energia que dure vários dias)?</t>
  </si>
  <si>
    <t>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t>
  </si>
  <si>
    <t>Norme: ISO 15189: 5.2.5 &amp; 5.2.10 L'espace de laboratoire doit être suffisant pour garantir la qualité du travail, la sécurité du personnel et la capacité du personnel à effectuer les procédures de contrôle de la qualité et la documentation. Le laboratoire doit être propre et bien organisé, exempt de tout encombrement, bien ventilé, bien éclairé et dans des plages de température acceptables. Une alimentation de secours devrait être disponible pour les instruments sensibles, les dispositifs de stockage à température contrôlée et autres équipements essentiels afin de prévenir les dommages et les perturbations dus aux fluctuations imprévues de l'alimentation. Les instruments sensibles doivent être équipés de commandes de surtension. De l'eau distillée et désionisée devrait être disponible, si nécessaire.</t>
  </si>
  <si>
    <t>Estándar: ISO 15189: 5.2.5 y 5.2.10 El espacio del laboratorio debe ser suficiente para que se pueda garantizar la calidad en el trabajo, la seguridad del personal y la capacidad del personal para llevar a cabo los procedimientos y la documentación del control de calidad. El laboratorio debe estar limpio y bien organizado, ordenado, bien ventilado, adecuadamente iluminado y dentro de rangos de temperatura aceptables. Debe haber disponible energía de emergencia para instrumentos sensibles, para el almacenamiento con temperatura controlada y otros equipos esenciales que sirvan para evitar daños e interrupciones debido a fluctuaciones y cortes inesperados de energía. Los instrumentos sensibles deben estar equipados con protectores de sobretensión. El agua destilada y desionizada debe estar disponible, en caso de que sea necesario.</t>
  </si>
  <si>
    <t>Norma: ISO 15189: 5.2.5 e 5.2.10 O espaço do laboratório deve ser suficiente para garantir que a qualidade do trabalho, a segurança do pessoal, bem como a capacidade do pessoal para realizar procedimentos e a documentação do controle de qualidade. O laboratório deve estar limpo e bem organizado, livre da desordem, bem ventilado, adequadamente iluminado, e dentro dos intervalos de temperatura aceitáveis. Energia de emergência deve estar disponível para instrumentos sensíveis, armazenamento com temperatura controlada, e outros equipamentos essenciais para prevenir danos e interrupções devido a flutuações e cortes inesperados de energia. Os instrumentos sensíveis devem ser equipados com controles de sobrecarga. Água destilada e deionizada deve estar disponível, se necessário.</t>
  </si>
  <si>
    <t>Describe the internet service in the laboratory</t>
  </si>
  <si>
    <t>Décrivez le service Internet dans le laboratoire</t>
  </si>
  <si>
    <t>Describir el servicio de internet en el laboratorio.</t>
  </si>
  <si>
    <t>Descrever o serviço de internet no laboratório</t>
  </si>
  <si>
    <t>1: Continuous (service interruptions are rare) - 2: Sporadic (service interruptions are common) - 3: No internet available</t>
  </si>
  <si>
    <t>1: continu (les interruptions de service sont rares) - 2: sporadique (les interruptions de service sont courantes) - 3: pas d'internet disponible</t>
  </si>
  <si>
    <t>1: Continuo (las interrupciones del servicio son raras) - 2: Esporádico (las interrupciones del servicio son comunes) - 3: No hay Internet disponible</t>
  </si>
  <si>
    <t>1: Contínua (interrupções de serviço são raras) - 2: Esporádicas (interrupções de serviço são comuns) - 3: Não há Internet disponível</t>
  </si>
  <si>
    <t>DISPONIBILITÉ DE L'ÉQUIPEMENT GÉNÉRAL</t>
  </si>
  <si>
    <t>DISPONIBILIDAD GENERAL DE EQUIPAMIENTO</t>
  </si>
  <si>
    <t>DISPONIBILIDADE GERAL DE EQUIPAMENTO</t>
  </si>
  <si>
    <t>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t>
  </si>
  <si>
    <t>Indiquez si le laboratoire dispose des équipements FONCTIONNELS suivants. Dans la colonne D (nbr), indiquez combien d’équipements fonctionnels sont présents. Si le laboratoire ne dispose que de matériel non fonctionnel, sélectionnez "Non" et écrivez "Non fonctionnel" dans les commentaires. Indiquez également dans les commentaires si la quantité d'équipement est suffisante pour le volume d'analyses du laboratoire.</t>
  </si>
  <si>
    <t>Indique si el laboratorio cuenta con los siguientes equipos FUNCIONALES. En la columna D (#), indique cuántas piezas de equipo FUNCIONAL están presentes. Si el laboratorio solo tiene equipo no funcional, seleccione "No" y escriba "no funcional" en los comentarios. Indique también en los comentarios si la cantidad de equipo es suficiente para el volumen de pruebas del laboratorio.</t>
  </si>
  <si>
    <t>Indicar se o laboratório tem as seguintes peças de equipamentos FUNCIONAIS. Na coluna D (#), indique quantas peças de equipamentos FUNCIONAIS estão presentes. Se o laboratório tiver apenas equipamentos não funcionais,  selecione "Não" e escreva "não funcional" nos comentários. Indique também nos comentários se a quantidade de equipamentos é suficiente para o volume de testes do laboratório.</t>
  </si>
  <si>
    <t>Padrões de turbidez de McFarland com valores de concentração final conhecidas,  incluindo 0.5, não expirado</t>
  </si>
  <si>
    <r>
      <t>Calibrated 1</t>
    </r>
    <r>
      <rPr>
        <sz val="10"/>
        <color theme="1"/>
        <rFont val="Calibri"/>
        <family val="2"/>
      </rPr>
      <t>µ</t>
    </r>
    <r>
      <rPr>
        <sz val="10"/>
        <color theme="1"/>
        <rFont val="Calibri"/>
        <family val="2"/>
        <scheme val="minor"/>
      </rPr>
      <t>L or 10</t>
    </r>
    <r>
      <rPr>
        <sz val="10"/>
        <color theme="1"/>
        <rFont val="Calibri"/>
        <family val="2"/>
      </rPr>
      <t>µ</t>
    </r>
    <r>
      <rPr>
        <sz val="10"/>
        <color theme="1"/>
        <rFont val="Calibri"/>
        <family val="2"/>
        <scheme val="minor"/>
      </rPr>
      <t>L loops (for plating urine cultures)</t>
    </r>
  </si>
  <si>
    <t>Oeses calibrées de 1µL ou 10µL (pour l'ensemmencement des urines)</t>
  </si>
  <si>
    <t>Asas de siembra calibradas de 1µL o 10µL (para sembrar en placa cultivos de orina)</t>
  </si>
  <si>
    <t>Alça Calibrada 1µL ou 10µL (para semear culturas de urina)</t>
  </si>
  <si>
    <t>Densímetro óptico / turbidímetro (para a determinação da densidade de McFarland)</t>
  </si>
  <si>
    <t>Micropipetas (ex., Eppendorf)</t>
  </si>
  <si>
    <t>Centrifugeuses (non utilisée pour les cultures de tuberculose)</t>
  </si>
  <si>
    <t>Microscopes</t>
  </si>
  <si>
    <t>Incubateurs à CO2</t>
  </si>
  <si>
    <t>Jarres à bougies</t>
  </si>
  <si>
    <t>Etuves  (sans CO2)</t>
  </si>
  <si>
    <t>Nevera (2-8 ° C)</t>
  </si>
  <si>
    <t xml:space="preserve">Congelador sem ciclo de degelo, -20 ° C </t>
  </si>
  <si>
    <t xml:space="preserve">Congelador sem ciclo de degelo, -60 ° C </t>
  </si>
  <si>
    <t xml:space="preserve">Congelador sem ciclo de degelo, -80 ° C </t>
  </si>
  <si>
    <t>Dissecantes recarregáveis ​​(para armazenamento de discos e tiras de antibióticos abertos)</t>
  </si>
  <si>
    <t>Estufa (para secagem de dissecantes saturados)</t>
  </si>
  <si>
    <t>Autoclave pour la préparation du milieux (autoclave "propre")</t>
  </si>
  <si>
    <t xml:space="preserve">DISPONIBILIDADE DE EQUIPAMENTO PARA PREPARAÇÃO DE MEIOS </t>
  </si>
  <si>
    <t>Does the lab prepare any media or distilled water? (e.g., blood agar, Mueller Hinton agar, blood culture bottles)</t>
  </si>
  <si>
    <t>Le laboratoire prépare-t-il des milieux ou de l'eau distillée? (par exemple, gélose au sang, gélose Mueller Hinton, flacons d'hémoculture)</t>
  </si>
  <si>
    <t>¿Prepara el laboratorio algún medio o agua destilada? (Ej., agar sangre, agar Mueller Hinton, frascos de hemocultivo)</t>
  </si>
  <si>
    <t>O laboratório prepara algum meio  ou água destilada? (ex. ágar  sangue, ágar Mueller Hinton, frascos de hemoculturas)</t>
  </si>
  <si>
    <t>If No, answer NA until next section</t>
  </si>
  <si>
    <t>Si non, répondez NA jusqu'à la section suivante</t>
  </si>
  <si>
    <t>En caso negativo, responda NA hasta la siguiente sección</t>
  </si>
  <si>
    <t>Em caso negativo, responder NA até a próxima seção</t>
  </si>
  <si>
    <t>Indicate whether the lab is currently using the following FUNCTIONAL pieces of equipment. If the lab has only non-functional equipment, select "No" and note "non-functional" in the comments.</t>
  </si>
  <si>
    <t>Indiquez si le laboratoire utilise actuellement les équipements FONCTIONELS suivants. Si le laboratoire ne dispose que de matériel non fonctionnel, sélectionnez "Non" et notez "non fonctionnel" dans les commentaires.</t>
  </si>
  <si>
    <t>Indique si el laboratorio está utilizando actualmente los siguientes equipos FUNCIONALES. Si el laboratorio no tiene ningún equpo funcional, seleccione "No" y anote "no funcional" en los comentarios.</t>
  </si>
  <si>
    <t>Indique se o laboratório está utilizando atualmente as seguintes peças  de equipamento FUNCIONAIS. Se o laboratório não tem nenhum equipamento funcional, selecione "Não", e escreva "não funcional" nos comentários.</t>
  </si>
  <si>
    <t>pHmetro</t>
  </si>
  <si>
    <t>Distiller/reverse osmosis equipment</t>
  </si>
  <si>
    <t>Distillateur / équipement d'osmose inverse</t>
  </si>
  <si>
    <t xml:space="preserve">Destilador/Equipamento de osmose inversa </t>
  </si>
  <si>
    <t>Agitador magnético com placa aquecedora (para misturar meios em pó)</t>
  </si>
  <si>
    <t>bain-marie</t>
  </si>
  <si>
    <t>Banho Maria</t>
  </si>
  <si>
    <t>REGISTROS DE CALIBRACIÓN DE LOS EQUIPOS</t>
  </si>
  <si>
    <t>Review the calibration records for each piece of equipment. Has calibration been performed within the last year?   (Select NA only if the lab does not have the equipment.)</t>
  </si>
  <si>
    <t>Passez en revue les enregistrements métrologiques pour chaque équipement. L'étalonnage a-t-il été effectuée au cours de la dernière année? (Entrez NA si le laboratoire n'a pas l'équipement.)</t>
  </si>
  <si>
    <t>Revise los registros de calibración para cada equipo. ¿Se ha calibrado en el último año? (Marque NA si el laboratorio no tiene el equipo en cuestión).</t>
  </si>
  <si>
    <t>Examinar os registros de calibração para cada peça de equipamento. Há registros de calibração no último ano? (Escreva NA se o laboratório não tem o equipamento.)</t>
  </si>
  <si>
    <t>Optical Densitometer (for determining McFarland density)</t>
  </si>
  <si>
    <t>Densitomètre optique (pour déterminer la densité de McFarland)</t>
  </si>
  <si>
    <t>Densitómetro óptico (para determinar la turbidez de McFarland)</t>
  </si>
  <si>
    <t>Densímetro ótico (para a determinação da turbidez de McFarland)</t>
  </si>
  <si>
    <t>Micropipettes (par exemple, Eppendorf)</t>
  </si>
  <si>
    <t>Micropipetas (por exemplo, Eppendorf)</t>
  </si>
  <si>
    <t>Centrifuge</t>
  </si>
  <si>
    <t>Centrifugeuses</t>
  </si>
  <si>
    <t>Centrífuga</t>
  </si>
  <si>
    <t>CO2 incubator</t>
  </si>
  <si>
    <t>Estufa de CO2</t>
  </si>
  <si>
    <t>Hot air oven for recharging desiccants</t>
  </si>
  <si>
    <t>Four à air chaud pour sécher des dessicants</t>
  </si>
  <si>
    <t>Estufa para recargar desecantes.</t>
  </si>
  <si>
    <t>Banho- Maria</t>
  </si>
  <si>
    <t>Indicate if manual (non-digital) thermometers are present inside each piece of equipment. (Select NA if the lab does not have the equipment.)</t>
  </si>
  <si>
    <t>Indiquez si des thermomètres manuels (non numériques) sont présents à l'intérieur de chaque équipement. (Entrez NA si le laboratoire n'a pas cet équipement.)</t>
  </si>
  <si>
    <t>Indique si hay termómetros manuales (no digitales) dentro de cada equipo. (Marque NA si el laboratorio no tiene el equipo en cuestión).</t>
  </si>
  <si>
    <t>Indicar se há termômetros manuais (não-digitais) dentro de cada equipamento. (Marque NA se o laboratório não tem o equipamento.)</t>
  </si>
  <si>
    <t>Etuve à CO2</t>
  </si>
  <si>
    <t>Etuve  (sans CO2)</t>
  </si>
  <si>
    <t xml:space="preserve">Non-defrosting freezer, -60°C </t>
  </si>
  <si>
    <t>Hot air oven (for recharging desiccants)</t>
  </si>
  <si>
    <t>Four à air chaud (pour sécher les dessicants)</t>
  </si>
  <si>
    <t>Estufa (para recargar desecantes)</t>
  </si>
  <si>
    <t>VIGILANCIA DE TEMPERATURAS Y ATMÓSFERAS</t>
  </si>
  <si>
    <t>Observe if acceptable min/max temperature ranges have been clearly defined on record sheets for the following areas/equipment and if temperature checks are documented daily. Tick NA if the piece of equipment in question is not in use in the lab.</t>
  </si>
  <si>
    <t>Observez si les plages de température acceptables minimales et maximales ont été clairement définies dans les feuilles d'enregistrement pour les zones / équipements suivants et si les contrôles de température sont documentés quotidiennement. Cochez NA si l'équipement en question n'est pas utilisé dans le laboratoire.</t>
  </si>
  <si>
    <t>Observe si se han definido claramente los rangos aceptables de temperatura mínima / máxima en las hojas de registro para las siguientes áreas / equipos y si las comprobaciones de temperatura se documentan diariamente. Marque NA si el equipo en cuestión no está en uso en el laboratorio.</t>
  </si>
  <si>
    <t>Observar se foram definidos claramente os intervalos aceitáveis temperatura mínima/máxima nas folhas de registro para as seguintes áreas /equipamentos e se a verificação de temperatura são documentadas diariamente. Marque ​​NA se a peça de equipamento em questão não estiver em uso no laboratório.</t>
  </si>
  <si>
    <t>Room temperature</t>
  </si>
  <si>
    <t>Température ambiante</t>
  </si>
  <si>
    <t>Temperatura ambiente</t>
  </si>
  <si>
    <t>Temperatura Ambiente</t>
  </si>
  <si>
    <t>Are temperatures recorded each day of use?</t>
  </si>
  <si>
    <t>Les températures sont-elles enregistrées chaque jour d'utilisation?</t>
  </si>
  <si>
    <t>¿Se registran las temperaturas cada día que se usa?</t>
  </si>
  <si>
    <t>As temperaturas são registradas a cada dia de uso?</t>
  </si>
  <si>
    <t>Is the acceptable temperature range (the minimum and maximum) clearly defined on the record sheet?</t>
  </si>
  <si>
    <t>La plage de température acceptable (minimum et maximum) est-elle clairement définie sur la fiche d'enregistrement?</t>
  </si>
  <si>
    <t>¿El rango de temperatura aceptable (mínimo y máximo) está claramente definido en la hoja de registro?</t>
  </si>
  <si>
    <t>O intervalo aceitável de temperaturas (mínima e máxima) está claramente definido na folha de registro?</t>
  </si>
  <si>
    <t>Freezers, -20°C</t>
  </si>
  <si>
    <t>Congélateurs, -20 ° C</t>
  </si>
  <si>
    <t>Congeladores, -20 ° C</t>
  </si>
  <si>
    <t>¿Se registran las temperaturas cada día de uso?</t>
  </si>
  <si>
    <t>Freezers, -60°C</t>
  </si>
  <si>
    <t>Congélateurs, -60 ° C</t>
  </si>
  <si>
    <t>Congeladores, -60 ° C</t>
  </si>
  <si>
    <t>Freezers, -80°C</t>
  </si>
  <si>
    <t>Congélateurs, -80 ° C</t>
  </si>
  <si>
    <t>Congeladores, -80 ° C</t>
  </si>
  <si>
    <t>Refrigerators</t>
  </si>
  <si>
    <t>Les réfrigérateurs</t>
  </si>
  <si>
    <t>Neveras</t>
  </si>
  <si>
    <t>Geladeiras</t>
  </si>
  <si>
    <t>Incubators, ambient atmosphere</t>
  </si>
  <si>
    <t>Incubateurs, atmosphère ambiante</t>
  </si>
  <si>
    <t>Estufas, temperatura ambiente</t>
  </si>
  <si>
    <t>Estufas, atmosfera ambiente</t>
  </si>
  <si>
    <t>Incubators, CO2</t>
  </si>
  <si>
    <t>Incubateurs, CO2</t>
  </si>
  <si>
    <t>Are CO2 incubators checked for adequate CO2 levels and documented daily (or each day of use if not used daily)?</t>
  </si>
  <si>
    <t>Les taux de CO2 dans les étuves à CO2 sont-ils vérifiés et documentés quotidiennement (ou chaque jour d'utilisation si elles ne sont pas utilisées quotidiennement)?</t>
  </si>
  <si>
    <t>¿Se verifica en las estufas de CO2 que haya niveles adecuados de CO2 y se documentan diariamente (o cada día de uso si no se usan diariamente)?</t>
  </si>
  <si>
    <t>As estufas de CO2 são verificadas para níveis adequados de CO2 e documentadas diariamente (ou cada dia de uso se não utilizadas diariamente)?</t>
  </si>
  <si>
    <t>Water baths</t>
  </si>
  <si>
    <t>Bains-marie</t>
  </si>
  <si>
    <t>Baños de agua</t>
  </si>
  <si>
    <t>Banhos- Maria</t>
  </si>
  <si>
    <t>Standard: Acceptable ranges should be defined for all temperature dependent equipment</t>
  </si>
  <si>
    <t>Norme: Des limites acceptables doivent être définies pour toute enceinte thermostatée.</t>
  </si>
  <si>
    <t>Estándar: se deben definir rangos aceptables para todos aquello equipos que dependan de la temperatura</t>
  </si>
  <si>
    <t>Norma: Intervalos aceitáveis ​​devem ser definidos para todos os equipamentos dependentes de temperatura</t>
  </si>
  <si>
    <t>Is there documentation of corrective action taken in response to out of range temperatures?</t>
  </si>
  <si>
    <t>Existe-t-il une documentation sur les mesures correctives prises en réponse à des températures non conformes?</t>
  </si>
  <si>
    <t>¿Hay documentación de las acciones correctivas que se toman en respuesta a temperaturas fuera de rango?</t>
  </si>
  <si>
    <t>Existe documentação das ações corretivas tomadas em resposta a temperaturas  fora dos limites aceitáveis?</t>
  </si>
  <si>
    <t>1: Yes - 2: No action is documented - 3: Temperatures are not recorded </t>
  </si>
  <si>
    <t>1: Oui - 2: Aucune action n'est documentée - 3: Les températures ne sont pas enregistrées</t>
  </si>
  <si>
    <t>1: Sí - 2: No se documenta ninguna acción - 3: Las temperaturas no se registran</t>
  </si>
  <si>
    <t>1: Sim - 2: Nenhuma ação é documentada - 3: As temperaturas não são registradas</t>
  </si>
  <si>
    <t>Standard: Procedures should be available with instruction as to what action(s) should be taken when temperatures are out of range</t>
  </si>
  <si>
    <t>Standard: Des procédures devraient être disponibles avec des instructions sur les actions à prendre lorsque les températures sont non conformes.</t>
  </si>
  <si>
    <t>Estándar: los procedimientos deben estar disponibles con instrucciones sobre qué acción (es) deben tomarse cuando las temperaturas están fuera del rango</t>
  </si>
  <si>
    <t>Norma: Os procedimentos devem estar disponíveis com instruções quanto a que ação (ões) devem ser tomadas quando as temperaturas estiverem fora dos limites</t>
  </si>
  <si>
    <t>GESTION DE L'AUTOCLAVE</t>
  </si>
  <si>
    <t>GESTIÓN DE AUTOCLAVE</t>
  </si>
  <si>
    <t>GESTÃO DO AUTOCLAVE</t>
  </si>
  <si>
    <t>Do records demonstrate that the following mechanical indicators are recorded each time the autoclave is run? (Review logs to confirm)</t>
  </si>
  <si>
    <t>Les enregistrements démontrent-ils que les indicateurs mécaniques suivants sont enregistrés chaque fois que l'autoclave est utilisé? (Consultez les registres/enregistrements pour confirmer)</t>
  </si>
  <si>
    <t>¿Se muestra en los registros que los siguientes indicadores mecánicos se anotan cada vez que se pone el autoclave? (Revise los registros para confirmar)</t>
  </si>
  <si>
    <t>Os registros demonstram que os seguintes indicadores mecânicos são registrados cada vez que a autoclave é utilizada? (Revise os registros para confirmar)</t>
  </si>
  <si>
    <t>Temperature</t>
  </si>
  <si>
    <t>Température</t>
  </si>
  <si>
    <t>Temperatura</t>
  </si>
  <si>
    <t>Pressure</t>
  </si>
  <si>
    <t>Pression</t>
  </si>
  <si>
    <t>Presión</t>
  </si>
  <si>
    <t>Pressão</t>
  </si>
  <si>
    <t>Cycle Time</t>
  </si>
  <si>
    <t>Durée du cycle</t>
  </si>
  <si>
    <t>Tiempo del ciclo</t>
  </si>
  <si>
    <t>Tempo do ciclo</t>
  </si>
  <si>
    <t>Do records demonstrate that chemical indicators (e.g., heat sensitive tape) are used each time the autoclave is run? (Review logs to confirm)</t>
  </si>
  <si>
    <t>Les enregistrements démontrent-ils que des indicateurs chimiques (par exemple, du ruban adhésif sensible à la chaleur) sont utilisés chaque fois que l'autoclave est utilisé? (Consultez les registres/enregistrements pour confirmer)</t>
  </si>
  <si>
    <t>¿Se muestra en los registros que los indicadores químicos (Ej., cinta sensible al calor) se usan cada vez que se pone el autoclave? (Revise los registros para confirmar)</t>
  </si>
  <si>
    <t>Os registros demonstram que os indicadores químicos (Ex. fita sensível ao calor) são utilizados cada vez que a autoclave é utilizada? (Revise os registros para confirmar)</t>
  </si>
  <si>
    <t>Do records demonstrate that biological indicators (e.g., Attest or other spore system) are used to confirm the autoclave is achieving sterilization? (Review logs to confirm). 1- Weekly, 2- Monthly, 3- Less than monthly, 4- No records</t>
  </si>
  <si>
    <t>Les enregistrements démontrent-ils que des indicateurs biologiques (Attest ou un autre système de spores, par exemple) sont utilisés pour confirmer que l'autoclave a réellement effectué la stérilisation? (Consultez les enregistrements/registres pour confirmer). 1- hebdomadaire, 2- mensuel, 3- moins que mensuel, 4- pas d'enregistrements</t>
  </si>
  <si>
    <t>¿Se muestra en los registros que los indicadores biológicos (Ej., Attest u otro sistema de esporas) se utilizan para confirmar que en el autoclave se está esterilizando? (Revise los registros para confirmar). 1- Semanal, 2- Mensual, 3- Menos que mensual, 4- Sin registros</t>
  </si>
  <si>
    <t>Os registros demonstram que os indicadores biológicos (Ex.Attest ou  outro sistema de esporos) são usados ​​para confirmar a autoclave está esterilizando? (Revise os registros para confirmar). 1- Semanal, 2-Mensal, 3- Menos que mensal, 4- Não há registos</t>
  </si>
  <si>
    <t>Is the same autoclave used for both media preparation and waste sterilization?</t>
  </si>
  <si>
    <t>Le même autoclave est-il utilisé à la fois pour la préparation du milieu et la stérilisation des déchets?</t>
  </si>
  <si>
    <t>¿Se utiliza el mismo autoclave para la preparación de medios y la esterilización de residuos?</t>
  </si>
  <si>
    <t>A mesma autoclave é utilizada tanto para a preparação dos meios quanto para a esterilização de resíduos?</t>
  </si>
  <si>
    <t>INSTRUMENT AVAILABILITY AND MAINTENANCE</t>
  </si>
  <si>
    <t>DISPONIBILITÉ ET ENTRETIEN DE L'INSTRUMENT</t>
  </si>
  <si>
    <t>DISPONIBILIDAD Y MANTENIMIENTO DEL INSTRUMENTO</t>
  </si>
  <si>
    <t xml:space="preserve">DISPONIBILIDADE E MANUTENÇÃO DE INSTRUMENTOS </t>
  </si>
  <si>
    <t>Enter quantity in column D (#)</t>
  </si>
  <si>
    <t>Entrez le nombre disponible pour chaque équipement dans la colonne D (nbr)</t>
  </si>
  <si>
    <t>Introduzca la cantidad en la columna D (#)</t>
  </si>
  <si>
    <t>Insira o número de peças na coluna D (#)</t>
  </si>
  <si>
    <t>Does the lab have an automated blood culture instrument? (indicate manufacturer and model in comments)</t>
  </si>
  <si>
    <t>Le laboratoire dispose-t-il d'un automate pour l'incubation des hémocultures? (indiquer le fabricant et le modèle dans les commentaires)</t>
  </si>
  <si>
    <t>¿Tiene el laboratorio un instrumento automatizado para realizar el hemocultivo? (indicar fabricante y modelo en comentarios)</t>
  </si>
  <si>
    <t>O laboratório tem um instrumento automatizado para realizar  hemoculturas? (Indicar o fabricante e modelo nos comentários)</t>
  </si>
  <si>
    <t>Is the instrument functional today?</t>
  </si>
  <si>
    <t>L'instrument est-il fonctionnel aujourd'hui?</t>
  </si>
  <si>
    <t>¿Funciona actualmente el instrumento?</t>
  </si>
  <si>
    <t>O instrumento se encontra funcional?</t>
  </si>
  <si>
    <t>Is a user manual present?</t>
  </si>
  <si>
    <t>Un manuel d'utilisation est-il disponible?</t>
  </si>
  <si>
    <t>¿Hay un manual de usuario presente?</t>
  </si>
  <si>
    <t>Existe um manual de usuário presente?</t>
  </si>
  <si>
    <t>Are routine (user) maintenance records present?</t>
  </si>
  <si>
    <t>Des enregistrements des maintenances de routine (utilisateur) sont-ils disponibles?</t>
  </si>
  <si>
    <t>¿Hay registros de mantenimiento de rutina (usuario)?</t>
  </si>
  <si>
    <t>Existem registros de manutenção de rotina (usuário)?</t>
  </si>
  <si>
    <t>Are preventive (vendor) maintenance records present?</t>
  </si>
  <si>
    <t>Des enregistrements des maintenances préventives (fournisseur) sont-ils disponibles?</t>
  </si>
  <si>
    <t>¿Hay registros de mantenimiento preventivo (proveedor)?</t>
  </si>
  <si>
    <t>Existem registros de manutenção de rotina (fornecedor)?</t>
  </si>
  <si>
    <t>Is a service contract in place?</t>
  </si>
  <si>
    <t>Un contrat de service-après-vente est-il en place?</t>
  </si>
  <si>
    <t>¿Existe un contrato de servicio?</t>
  </si>
  <si>
    <t>Existe um contrato de serviço?</t>
  </si>
  <si>
    <t>Is the software up to date?</t>
  </si>
  <si>
    <t>Le logiciel est-il à jour?</t>
  </si>
  <si>
    <t>¿Está el software actualizado?</t>
  </si>
  <si>
    <t>O software está atualizado?</t>
  </si>
  <si>
    <t>Does the lab have an automated instrument for bacterial ID and AST? (e.g., Vitek, Microscan, Phoenix)</t>
  </si>
  <si>
    <t>Le laboratoire dispose-t-il d'un automate pour l'identification bactérienne et les TSA? (par exemple, Vitek, Microscan, Phoenix)</t>
  </si>
  <si>
    <t>¿Tiene el laboratorio un instrumento automatizado para identificación bacteriana y PSA? (Ej., Vitek, Microscan, Phoenix)</t>
  </si>
  <si>
    <t>O laboratório tem um instrumento automatizado para identificação bacteriana e TSA? (Ex. Vitek, Microscan, Phoenix)</t>
  </si>
  <si>
    <t>Existem registros de manutenção preventiva (fornecedor)?</t>
  </si>
  <si>
    <t>Does the lab have an automated instrument for reading disk diffusion? (e.g., SIRSCAN, BIOMIC V3, ADAGIO, etc.)</t>
  </si>
  <si>
    <t>Le laboratoire dispose-t-il d'un instrument automatisé pour lire les TSA en diffusion en milieu solide (disques d'antibiotiques)? (par exemple, SIRSCAN, BIOMIC V3, ADAGIO, etc.)</t>
  </si>
  <si>
    <t>¿Tiene el laboratorio un lector automático para pruebas de difusión con discos? (Ej., SIRSCAN, BIOMIC V3, ADAGIO, etc.)</t>
  </si>
  <si>
    <t>O laboratório tem um instrumento automatizado para a leitura de difusão de discos? (Ex.SIRSCAN, BIOMIC V3, ADAGIO, etc.)</t>
  </si>
  <si>
    <t>¿El software está actualizado?</t>
  </si>
  <si>
    <t>Does the lab have a MALDI instrument for organism ID? (e.g., Bruker, Biomerieux)</t>
  </si>
  <si>
    <t>Le laboratoire dispose-t-il d'un instrument MALDI pour l'identification des organismes? (par exemple, Bruker, Biomerieux)</t>
  </si>
  <si>
    <t>¿El laboratorio tiene un instrumento MALDI para identificación de organismos? (Ej., Bruker, Biomerieux)</t>
  </si>
  <si>
    <t>O laboratório tem um instrumento MALDI para a identificação de organismos? (ex. Bruker, Biomerieux)</t>
  </si>
  <si>
    <t>Does the lab have a PCR instrument used for detecting antibiotic resistance genes? (e.g., GeneXpert)</t>
  </si>
  <si>
    <t>Le laboratoire dispose-t-il d'un instrument de PCR utilisé pour détecter les gènes de résistance aux antibiotiques? (par exemple, GeneXpert)</t>
  </si>
  <si>
    <t>¿Tiene el laboratorio un instrumento de PCR utilizado para detectar genes de resistencia a antibióticos? (Ej., GeneXpert)</t>
  </si>
  <si>
    <t>O laboratório tem um instrumento de PCR utilizado para a detecção de genes de resistência a antibióticos? (Ex. GeneXpert)</t>
  </si>
  <si>
    <t>In the last 6 months, has prolonged instrument failure disrupted the ability to provide routine bacteriology services?</t>
  </si>
  <si>
    <t>Au cours des 6 derniers mois, une défaillance prolongée de l'instrument a-t-elle perturbé la capacité de fournir des services bactériologiques de routine?</t>
  </si>
  <si>
    <t>En los últimos 6 meses, ¿se ha interrumpido la capacidad de proporcionar servicios bacteriológicos de rutina debido al fallo prolongado de un instrumento?</t>
  </si>
  <si>
    <t>Nos últimos 6 meses, houve interrupção na capacidade de fornecer serviços de bacteriologia de rotina devido a falha prolongada de um instrumento?</t>
  </si>
  <si>
    <t>In the event of prolonged instrument failure, is a contingency plan in place to provide uninterrupted bacteriology services?</t>
  </si>
  <si>
    <t>En cas de défaillance prolongée de l'instrument, un plan d'urgence est-il en place pour fournir un service de bactériologie ininterrompu?</t>
  </si>
  <si>
    <t>¿Existe un plan de contingencia en vigor para poder proporcionar servicios bacteriológicos de manera ininterrumpida en caso de que se prolongue el fallo de un instrumento?</t>
  </si>
  <si>
    <t>Em caso de falha prolongada do instrumento, existe algum plano de contingência estabelecido para fornecer serviços de bacteriologia de forma ininterrupta?</t>
  </si>
  <si>
    <t>INVENTARIOS Y RUPTURAS DE STOCKS</t>
  </si>
  <si>
    <t>INVENTÁRIOS E RUPTURAS DE ESTOQUE</t>
  </si>
  <si>
    <t>Does the lab have an inventory control system in place?</t>
  </si>
  <si>
    <t>Le laboratoire dispose-t-il d'un système de gestion des stocks?</t>
  </si>
  <si>
    <t>¿Tiene el laboratorio un sistema de control de inventario en vigor?</t>
  </si>
  <si>
    <t>O laboratório tem um sistema de controle de inventário estabelecido?</t>
  </si>
  <si>
    <t>In the last 6 months, has the lab/hospital experienced stock outs of specimen collection materials? (e.g., blood culture bottles, sterile cups, sterile swabs)</t>
  </si>
  <si>
    <t>Au cours des 6 derniers mois, le laboratoire / hôpital a-t-il connu des ruptures de stock de matériel de prélèvement d'échantillons? (Par exemple, flacons d'hémoculture, poudriers stériles, écouvillons stériles)</t>
  </si>
  <si>
    <t>En los últimos 6 meses, ¿se ha producido en el laboratorio/hospital ruptura de stock de materiales de recogida de muestras? (Ej., frascos de hemocultivo, vasos estériles, hisopos estériles)</t>
  </si>
  <si>
    <t>Nos últimos 6 meses, o laboratório/hospital evidenciou ruptura de estoque de materiais de coleta da amostra? (Por exemplo, frascos de hemocultura, vasilhames estéreis, swab estéreis)</t>
  </si>
  <si>
    <t>In the last 6 months, has the lab experienced stock outs of consumables? (e.g.,, petri dishes, tubes, sterile saline, pipettes, pipette tips, plastic inoculating loops, gloves, paper, gauze, disinfectant)</t>
  </si>
  <si>
    <t>Au cours des 6 derniers mois, le laboratoire a-t-il connu des ruptures de stock de consommables? (Par exemple, boîtes de Pétri, tubes, sérum physiologique stérile, pipettes, embouts de pipette, oese en plastique, gants, papier, gaze, désinfectant)</t>
  </si>
  <si>
    <t>En los últimos 6 meses, ¿se ha producido en el laboratorio ruptura de stock de consumibles? (Ej., placas de Petri, tubos, solución salina estéril, pipetas, puntas de pipeta, asas de siembra de plástico, guantes, papel, gasas, desinfectantes)</t>
  </si>
  <si>
    <t>Nos últimos 6 meses, o laboratório evidenciou ruptura de estoque de consumíveis? (Por exemplo, placas de petri, tubos, solução salina estéril, pipetas, ponteiras, alças de plástico para inoculação, luvas, papel, gaze, desinfetante)</t>
  </si>
  <si>
    <t>In the last 6 months, has the lab experienced stock outs of media? (e.g., powdered media, sheep blood, other additives, tubed media)</t>
  </si>
  <si>
    <t>Au cours des 6 derniers mois, le laboratoire a-t-il connu des ruptures de stock de milieux? (Par exemple, poudre, sang de mouton, autres additifs, milieu en tube)</t>
  </si>
  <si>
    <t>En los últimos 6 meses, ¿se ha producido en el laboratorio ruptura de stock de medios? (Ej., medios en polvo, sangre de oveja, otros aditivos, medios en tubos)</t>
  </si>
  <si>
    <t>Nos últimos 6 meses, o laboratório evidenciou ruptura de estoque de meio? (Por exemplo, meio em pó, sangue de carneiro, outros aditivos, meios em tubo)</t>
  </si>
  <si>
    <t>In the last 6 months, has the lab experienced stock outs of conventional reagents? (e.g., oxidase reagent, indole reagent, catalase reagent, coagulase reagent, etc.)</t>
  </si>
  <si>
    <t>Au cours des 6 derniers mois, le laboratoire a-t-il connu des ruptures de stock de réactifs classiques? (Par exemple, réactif oxydase, réactif indole, réactif catalase, réactif coagulase, etc.)</t>
  </si>
  <si>
    <t>En los últimos 6 meses, ¿se ha producido en el laboratorio ruptura de stock de reactivos convencionales? (Ej., oxidasa, indol, catalasa, coagulasa, etc.)</t>
  </si>
  <si>
    <t>Nos últimos 6 meses, o laboratório evidenciou ruptura de estoque de reagentes convencionais? (Por exemplo, reagente de oxidase, reagente de indol, reagente de catalase, reagente de coagulase, etc.)</t>
  </si>
  <si>
    <t>In the last 6 months, has the lab experienced stock outs of antibiotic disks or strips?</t>
  </si>
  <si>
    <t>Au cours des 6 derniers mois, le laboratoire a-t-il connu des ruptures de stock de disques ou de bandelettes d'antibiotiques?</t>
  </si>
  <si>
    <t>En los últimos 6 meses, ¿se ha producido en el laboratorio ruptura de stock de discos o tiras de antibióticos?</t>
  </si>
  <si>
    <t>Nos últimos 6 meses, o laboratório  evidenciou ruptura de estoque de discos ou tiras de antibióticos?</t>
  </si>
  <si>
    <t>In the last 6 months, has the lab experienced stock outs of ID or AST cards/trays for the automated instruments?</t>
  </si>
  <si>
    <t>Au cours des 6 derniers mois, le laboratoire a-t-il connu des ruptures de stock de cartes / plaques d'identification ou TSA pour les instruments automatisés?</t>
  </si>
  <si>
    <t>En los últimos 6 meses, ¿se ha producido en el laboratorio ruptura de stock de tarjetas / bandejas de identificación o PSA para los instrumentos automatizados?</t>
  </si>
  <si>
    <t>Nos últimos 6 meses, o laboratório evidenciou ruptura de estoque de cartões/bandejas de identificação ou TSA para os instrumentos automatizados?</t>
  </si>
  <si>
    <t xml:space="preserve">In the last 6 months, has the lab experienced stock outs of control materials or reference strains? </t>
  </si>
  <si>
    <t>Au cours des 6 derniers mois, le laboratoire a-t-il connu des ruptures de stock de matériel de contrôle qualité ou de souches de référence?</t>
  </si>
  <si>
    <t>En los últimos 6 meses, ¿se ha producido en el laboratorio ruptura de stock de materiales de control o cepas de referencia?</t>
  </si>
  <si>
    <t xml:space="preserve">Nos últimos 6 meses, o laboratório evidenciou ruptura de estoque de materiais de controle ou cepas de referência? </t>
  </si>
  <si>
    <t xml:space="preserve">In the last 6 months, has the lab experienced stock outs of other key materials? </t>
  </si>
  <si>
    <t>Au cours des 6 derniers mois, le laboratoire a-t-il connu des ruptures de stock d'autres matériaux clés?</t>
  </si>
  <si>
    <t>En los últimos 6 meses, ¿se ha producido en el laboratorio ruptura de stock de otros materiales clave?</t>
  </si>
  <si>
    <t xml:space="preserve">Nos últimos 6 meses, o laboratório evidenciou ruptura de estoque de outros materiais-chave? </t>
  </si>
  <si>
    <t>In the last 6 months, have any stock outs disrupted the lab's ability to provide routine bacteriology services?</t>
  </si>
  <si>
    <t>Au cours des 6 derniers mois, des ruptures de stock ont-elles perturbé la capacité du laboratoire à fournir des services de routine en bactériologie?</t>
  </si>
  <si>
    <t>En los últimos 6 meses, ¿alguna ruptura de stock ha interrumpido la capacidad del laboratorio para proporcionar servicios bacteriológicos de rutina?</t>
  </si>
  <si>
    <t>Nos últimos 6 meses, alguma ruptura de estoque interrompeu a capacidade do laboratório para fornecer serviços de bacteriologia de rotina?</t>
  </si>
  <si>
    <t>In the event of stock outs, is a contingency plan in place to provide uninterrupted bacteriology services?</t>
  </si>
  <si>
    <t>En cas de rupture de stock, un plan d’urgence est-il en place pour fournir un service de bactériologie ininterrompu?</t>
  </si>
  <si>
    <t>En caso de que se agoten las existencias, ¿existe un plan de contingencia en vigor para proporcionar servicios bacteriológicos de manera ininterrumpida?</t>
  </si>
  <si>
    <t>No caso de ruptura de estoque, existe um plano de contingência estabelecido para fornecer serviços de bacteriologia de forma  ininterrupta?</t>
  </si>
  <si>
    <t>Standard: Testing services should not be subject to interruption due to stock outs. Laboratories should pursue all options for borrowing stock from another laboratory or referring samples to another testing facility while the stock out is being addressed.</t>
  </si>
  <si>
    <t>Standard: Les services de test ne doivent pas être interrompus en raison de ruptures de stock. Les laboratoires doivent rechercher toutes les options pour emprunter des stocks auprès d’un autre laboratoire ou renvoyer des échantillons vers un autre centre d’analyse en attendant que la rupture de stock soit résolue.</t>
  </si>
  <si>
    <t>Estándar: los análsis no deben interrumpirse debido al agotamiento de existencias. Los laboratorios deben explorar todas las opciones mientras se gestiona la ruptura como pedir prestado stock a otro laboratorio o derivar muestras a otro laboratorio</t>
  </si>
  <si>
    <t>Norma: Os serviços de análise não devem estar sujeitos a interrupção devido a rupturas de estoque. Os laboratórios devem explorar todas as opções enquanto maneja o problema como pedir emprestado estoque de outro laboratório ou referenciar amostras para outro laboratório.</t>
  </si>
  <si>
    <t>Are all currently in use media, reagents and test kits within the manufacturer-assigned expiry dates? (Verify by random sampling)</t>
  </si>
  <si>
    <t>Tous les milieux, réactifs et trousses de test actuellement utilisés sont-ils encore valides selon les dates de péremption spécifiées par le fabricant? (Vérifier par échantillonnage aléatoire)</t>
  </si>
  <si>
    <r>
      <t xml:space="preserve">¿Están todos los medios, reactivos y </t>
    </r>
    <r>
      <rPr>
        <sz val="10"/>
        <rFont val="Calibri"/>
        <family val="2"/>
        <scheme val="minor"/>
      </rPr>
      <t xml:space="preserve">kits de análisis </t>
    </r>
    <r>
      <rPr>
        <sz val="10"/>
        <color rgb="FF000000"/>
        <rFont val="Calibri"/>
        <family val="2"/>
        <scheme val="minor"/>
      </rPr>
      <t>que se estén usando actualmente dentro de las fechas de caducidad asignadas por el fabricante? (Verificar mediante muestreo aleatorio)</t>
    </r>
  </si>
  <si>
    <t>Todos os meios, reagentes e kits de teste em uso se encontram atualmente dentro das datas de validade atribuídas pelo fabricante? (Verificar por amostragem aleatória)</t>
  </si>
  <si>
    <t>Standard: All reagent and test kits in use, as well as those in stock, should be within the manufacturer-assigned expiry dates. Expired stock should not be entered into use and should be documented before disposal.</t>
  </si>
  <si>
    <t>Standard: Tous les trousses de réactifs et de tests utilisés, ainsi que ceux en stock, doivent respecter les dates d'expiration spécifiées par le fabricant. Les stocks périmés ne doivent pas être utilisés et doivent être documentés avant leur élimination.</t>
  </si>
  <si>
    <t>Estándar: ninguno de los reactivos ni kits de análisis en uso, así como los que están en stock, debe sobrepasar las fechas de caducidad asignadas por el fabricante. Las existencias caducadas no deben usarse y deben documentarse antes de su eliminación.</t>
  </si>
  <si>
    <t>Norma: Todos os reagentes e kits de teste em uso, bem como aqueles em estoque, devem estar dentro das datas de validade atribuídas pelo fabricante. Estoque expirado não deve ser utilizado e deve ser documentado antes do descarte.</t>
  </si>
  <si>
    <t>Are all reconstituted reagents, such as coagulase plasma, within stability from the date of reconstitution? (Coagulase plasma expires 30 days after reconstitution when stored frozen).</t>
  </si>
  <si>
    <t>Tous les réactifs reconstitués, tels que le plasma de la coagulase, sont-ils stables depuis la date de reconstitution? (Le plasma de la coagulase expire 30 jours après la reconstitution lorsqu'il est conservé congelé).</t>
  </si>
  <si>
    <t>¿Se mantiene la estabilidad de todos los reactivos reconstituidos, como el plasma-coagulasa, desde la fecha de reconstitución? (El plasma-coagulasa expira 30 días después de la reconstitución cuando se almacena congelado).</t>
  </si>
  <si>
    <t>Todos os reagentes reconstituídos, tais como plasma coagulase se encontram dentro de estabilidade a partir da data de reconstituição? (Plasma coagulase expira 30 dias após a reconstituição quando armazenado congelado).</t>
  </si>
  <si>
    <t>Functional equipment?</t>
  </si>
  <si>
    <t>Equipement fonctionnel?</t>
  </si>
  <si>
    <t>¿Equipamiento funcional?</t>
  </si>
  <si>
    <t>Equipamentos funcionais?</t>
  </si>
  <si>
    <t>Please comment "insufficient" if the amount of functional equipment present is insufficient for the laboratory's volume of testing.</t>
  </si>
  <si>
    <t>Veuillez indiquer "insuffisant" si la quantité d'équipement fonctionnel présent est insuffisante pour le volume d'analyse effectué par le laboratoire.</t>
  </si>
  <si>
    <t>Marque "insuficiente" si la cantidad de equipos funcionales presente es insuficiente para el volumen de pruebas del laboratorio.</t>
  </si>
  <si>
    <t>Por favor, comente "insuficiente" se a quantidade de equipamentos funcionais existentes  é insuficiente para o volume de testes do laboratório.</t>
  </si>
  <si>
    <t>Température enregistrée</t>
  </si>
  <si>
    <t>Plages définies</t>
  </si>
  <si>
    <t>BRAND:</t>
  </si>
  <si>
    <t>MARQUE:</t>
  </si>
  <si>
    <t>MARCA:</t>
  </si>
  <si>
    <t>BRAND/ MODEL:</t>
  </si>
  <si>
    <t>MARQUE/MODÈLE:</t>
  </si>
  <si>
    <t>MARCA/MODELO:</t>
  </si>
  <si>
    <t>2 - LABORATORY INFORMATION SYSTEM (ELECTRONIC)</t>
  </si>
  <si>
    <t>2 - SYSTÈME D'INFORMATION DE LABORATOIRE (INFORMATIQUE)</t>
  </si>
  <si>
    <t>2 - SISTEMA DE INFORMACIÓN DE LABORATORIO (SIL) (ELECTRÓNICO)</t>
  </si>
  <si>
    <t xml:space="preserve">2 - SISTEMA DE INFORMAÇÃO LABORATORIAL -SIL (ELETRÔNICO) </t>
  </si>
  <si>
    <t>If the lab does not use an electronic LIS, answer No to question 2.1, then skip to the Data Management tab, #3.</t>
  </si>
  <si>
    <t>Si le laboratoire n'utilise pas de LIS informatisé, répondez Non à la question 2.1, puis passez à Gestion des données, #3.</t>
  </si>
  <si>
    <t>Si el laboratorio no usa un Sistema de Información electrónico, responda No a la pregunta 2.1, luego pase a Gestión de datos, #3.</t>
  </si>
  <si>
    <t>Se o laboratório não usa um LIS eletrônico, responda Não à pergunta 2.1, e passe para a Gestão de Dados, #3.</t>
  </si>
  <si>
    <t>The scores for this section reflect the usability of the computer-based LIS and its likely compatibility with AMR surveillance systems, not the quality of the laboratory</t>
  </si>
  <si>
    <t>Les scores de cette section reflètent l'ergonomie du SIL  et sa compatibilité probable avec les systèmes de surveillance de la RAM, et non la qualité du laboratoire.</t>
  </si>
  <si>
    <t>La puntuación en esta sección no refleja la calidad del laboratorio sino la facildad de uso del Sistema de Información basado en ordenador y su compatibilidad potencial con los sistemas de vigilancia de RAM.</t>
  </si>
  <si>
    <t>As pontuações para esta seção não refletem a qualidade do laboratório e sim o uso do SIL baseado em computador e sua provável compatibilidade com os sistemas de vigilância da RAM.</t>
  </si>
  <si>
    <t>When exporting data from a LIS for data analysis purposes, including AMR surveillance, it is important that each data field is discrete</t>
  </si>
  <si>
    <t>Lors de l’exportation de données d’un SIL à des fins d’analyse de données, y compris la surveillance de la RAM, il est important que chaque champ de données soit discret/distinct.</t>
  </si>
  <si>
    <t>Al exportar datos desde un Sistema de Información de Laboratorio (SIL) con el propósito de analizarlos, incluida la vigilancia de RAM, es importante que cada campo de datos esté separado</t>
  </si>
  <si>
    <t>Ao exportar dados a partir de um SIL com o propósito de analisa-los, incluindo para a vigilância da RAM , é importante que cada campo de dados esteja separado</t>
  </si>
  <si>
    <t>CAMPOS DE DATOS DEMOGRÁFICOS</t>
  </si>
  <si>
    <t>CAMPOS DE DADOS DEMOGRÁFICOS</t>
  </si>
  <si>
    <t>Does the laboratory use a computer-based Laboratory Information System (LIS)?</t>
  </si>
  <si>
    <t>Le laboratoire utilise-t-il un système d'information de laboratoire (SIL)?</t>
  </si>
  <si>
    <t>¿Utiliza el laboratorio un Sistema de Información (SIL) basado en ordenador?</t>
  </si>
  <si>
    <t>O laboratório utiliza um Sistema de Informação Laboratorial baseado em computador (SIL)?</t>
  </si>
  <si>
    <t>Name of LIS:</t>
  </si>
  <si>
    <t>Nom du SIL</t>
  </si>
  <si>
    <t>Nombre de SIL:</t>
  </si>
  <si>
    <t>Nome do SIL:</t>
  </si>
  <si>
    <t>If yes, please record name in comments. PLEASE NOTE: WHONET is not a LIS</t>
  </si>
  <si>
    <t>Si oui, veuillez enregistrer le nom dans les commentaires. VEUILLEZ NOTER: WHONET n’est pas un SIL</t>
  </si>
  <si>
    <t>En caso afirmativo, escriba el nombre en los comentarios. NOTA: tenga en cuenta que WHONET no es un SIL</t>
  </si>
  <si>
    <t xml:space="preserve">Se sim, por favor registrar o nome nos comentários. ATENÇÃO: WHONET não é um SIL </t>
  </si>
  <si>
    <t>Observe data entry into the LIS. Are individual data fields present for each of the following?</t>
  </si>
  <si>
    <t>Observez la saisie de données dans le SIL. Des champs de données individuels sont-ils présents pour chacun des éléments suivants?</t>
  </si>
  <si>
    <t>Observe la entrada de datos en el SIL. ¿Existen campos individuales para cada uno de los siguientes datos?</t>
  </si>
  <si>
    <t>Observe a entrada de dados no SIL. Existem campos individuais presentes para cada um dos seguintes dados?</t>
  </si>
  <si>
    <t>Patient Last Name/Surname</t>
  </si>
  <si>
    <t>Nom de famille du patient</t>
  </si>
  <si>
    <t>Apellido del paciente</t>
  </si>
  <si>
    <t>Sobrenome/ Último Nome do Paciente</t>
  </si>
  <si>
    <t>Patient First Name</t>
  </si>
  <si>
    <t>Prénom du patient</t>
  </si>
  <si>
    <t>Nombre del paciente</t>
  </si>
  <si>
    <t xml:space="preserve">Nome do Paciente </t>
  </si>
  <si>
    <t>Patient Identification Number</t>
  </si>
  <si>
    <t>Numéro d'identification du patient</t>
  </si>
  <si>
    <t>Número de identificación del paciente</t>
  </si>
  <si>
    <t>Número de Identificação do Paciente</t>
  </si>
  <si>
    <t>Patient Date of Birth</t>
  </si>
  <si>
    <t>Date de naissance du patient</t>
  </si>
  <si>
    <t>Fecha de nacimiento del paciente</t>
  </si>
  <si>
    <t>Data de Nascimento do Paciente</t>
  </si>
  <si>
    <t>Patient Age</t>
  </si>
  <si>
    <t>Âge du patient</t>
  </si>
  <si>
    <t>Edad del paciente</t>
  </si>
  <si>
    <t>Idade do Paciente</t>
  </si>
  <si>
    <t>Patient Sex</t>
  </si>
  <si>
    <t>Sexe du patient</t>
  </si>
  <si>
    <t>Sexo del paciente</t>
  </si>
  <si>
    <t>Sexo do Paciente</t>
  </si>
  <si>
    <t>Patient Location (Ward or Unit at the time of specimen collection, e.g., "ICU")</t>
  </si>
  <si>
    <t>Lieu d'admission du patient (service ou unité au moment de la collecte de l'échantillon, par exemple, "USI")</t>
  </si>
  <si>
    <t>Ubicación del paciente (sala o unidad en el momento de la recogida de la muestra. Ej., "UCI")</t>
  </si>
  <si>
    <t>Localização do Paciente ( ala ou unidade no momento da coleta da amostra. Ex, "UTI")</t>
  </si>
  <si>
    <t>Patient Date of Admission</t>
  </si>
  <si>
    <t>Date d'admission du patient</t>
  </si>
  <si>
    <t>Fecha de ingreso del paciente</t>
  </si>
  <si>
    <t>Data de Admissão do Paciente</t>
  </si>
  <si>
    <t>CHAMPS DE DONNÉES CONCERNANT L'ÉCHANTILLON</t>
  </si>
  <si>
    <t>CAMPOS DE DATOS DE MUESTRAS</t>
  </si>
  <si>
    <t xml:space="preserve">CAMPOS DE DADOS DE AMOSTRAS </t>
  </si>
  <si>
    <t>Observe la introducción de datos en el SIL. ¿Existen campos individuales para cada uno de los siguientes datos?</t>
  </si>
  <si>
    <t>Specimen identification number</t>
  </si>
  <si>
    <t>Numéro d'identification de l'échantillon</t>
  </si>
  <si>
    <t>Número de identificación de la muestra</t>
  </si>
  <si>
    <t>Número de identificação da amostra</t>
  </si>
  <si>
    <t>Specimen Type (e.g. Wound)</t>
  </si>
  <si>
    <t>Type d'échantillon (par exemple plaie)</t>
  </si>
  <si>
    <t>Tipo de muestra (Ej., herida)</t>
  </si>
  <si>
    <t>Tipo de amostra (Ex. Ferida)</t>
  </si>
  <si>
    <t>Specimen Source/Body Site (e.g., Arm)</t>
  </si>
  <si>
    <t>Provenance de l'échantillon/ localisation anatomique (par exemple bras)</t>
  </si>
  <si>
    <t>Origen / sitio del cuerpo de la muestra (Ej., brazo)</t>
  </si>
  <si>
    <t>Origem da Amostra/ Parte do Corpo  (Ex. Braço)</t>
  </si>
  <si>
    <t>Additional descriptors (e.g., Left, Right)</t>
  </si>
  <si>
    <t>Descriptions supplémentaires (par exemple, Gauche, Droite)</t>
  </si>
  <si>
    <t>Descripciones adicionales (Ej., Izquierda, Derecha)</t>
  </si>
  <si>
    <t>Descrições adicionais (Ex. Esquerdo, Direito)</t>
  </si>
  <si>
    <t>Date of specimen collection</t>
  </si>
  <si>
    <t>Date de prélèvement de l'échantillon</t>
  </si>
  <si>
    <t>Fecha de recogida de la muestra</t>
  </si>
  <si>
    <t>Data de coleta da amostra</t>
  </si>
  <si>
    <t>Time of specimen collection</t>
  </si>
  <si>
    <t>Heure du prélèvement</t>
  </si>
  <si>
    <t>Hora de recogida de la muestra.</t>
  </si>
  <si>
    <t>Hora de coleta da amostra</t>
  </si>
  <si>
    <t>Date of specimen receipt</t>
  </si>
  <si>
    <t>Date de réception de l'échantillon</t>
  </si>
  <si>
    <t>Fecha de recepción de la muestra</t>
  </si>
  <si>
    <t>Data de recebimento da amostra</t>
  </si>
  <si>
    <t>Time of specimen receipt</t>
  </si>
  <si>
    <t>Heure de réception de l'échantillon</t>
  </si>
  <si>
    <t>Hora de recepción de la muestra</t>
  </si>
  <si>
    <t xml:space="preserve">Hora de recebimento da amostra </t>
  </si>
  <si>
    <t>CAMPOS DE DADOS DE OBSERVAÇÃO DAS CULTURAS</t>
  </si>
  <si>
    <t>Observe culture data entry into the LIS. Are individual data fields present for each of the following?</t>
  </si>
  <si>
    <t>Observez la saisie des données de culture dans le SIL. Des champs de données individuels sont-ils présents pour chacun des éléments suivants?</t>
  </si>
  <si>
    <t>Observe la introducción de datos de cultivos en el SIL. ¿Existen campos individuales para cada uno de los siguientes datos?</t>
  </si>
  <si>
    <t>Gram stain of specimen (e.g., sputum Gram stain)</t>
  </si>
  <si>
    <t>Coloration de Gram de l'échantillon (par exemple, coloration de l'expectoration)</t>
  </si>
  <si>
    <t>Tinción de Gram de la muestra (Ej., Tinción de Gram de esputo)</t>
  </si>
  <si>
    <t>Coloração de Gram de amostra (Ex. Coloração de Gram de escarro)</t>
  </si>
  <si>
    <t>Quantity of Epithelial Cells per low power field</t>
  </si>
  <si>
    <t>Quantité de cellules épithéliales par champ à un faible grossissement</t>
  </si>
  <si>
    <t>Cantidad de células epiteliales por campo de baja potencia</t>
  </si>
  <si>
    <t>Quantidade de Células Epiteliais por campo de baixa potência</t>
  </si>
  <si>
    <t>Quantity of PMNs (WBCs) per low power field</t>
  </si>
  <si>
    <t>Quantité de PNN (globules blancs) par champ à un faible grossissement</t>
  </si>
  <si>
    <t>Cantidad de células polimorfonucleares (PMN) (glóbulos blancos, leucocitos) por campo de baja potencia</t>
  </si>
  <si>
    <t>Quantidade de PMN (Leucócitos) por campo de baixa potência</t>
  </si>
  <si>
    <t>Quantity of bacterial cells per high power field</t>
  </si>
  <si>
    <t>Quantité de cellules bactériennes par champ à un fort grossissement</t>
  </si>
  <si>
    <t>Cantidad de células bacterianas por campo de alta potencia.</t>
  </si>
  <si>
    <t>Quantidade de células bacterianas por campo de alta potência</t>
  </si>
  <si>
    <t>Type of bacterial cells (gram-positive cocci, gram-negative bacilli, etc.)</t>
  </si>
  <si>
    <t>Type de cellules bactériennes (cocci à Gram positif, bacilles à Gram négatif, etc.)</t>
  </si>
  <si>
    <t>Tipo de células bacterianas (cocos gram positivos, bacilos gram negativos, etc.)</t>
  </si>
  <si>
    <t>Tipo de células bacterianas (cocos Gram positivos, bacilos Gram negativos, etc.)</t>
  </si>
  <si>
    <t>Description of colony morphologies (e.g. "mucoid lactose-fermenter" or "beta-hemolytic")</t>
  </si>
  <si>
    <t>Description des morphologies de colonies (par exemple "muqueuse, fermentant le lactose" ou "bêta-hémolytique")</t>
  </si>
  <si>
    <t>Descripción de las morfologías de las colonias (Ej., "fermentador de lactosa mucoide" o "beta-hemolítico")</t>
  </si>
  <si>
    <t>Descrição das morfologias das colônias (Ex, "fermentador de lactose mucóide" ou "beta-hemolítico")</t>
  </si>
  <si>
    <t>Description of colony quantities (e.g. "1+, 2+, 3+, 4+" or "few, moderate, many")</t>
  </si>
  <si>
    <t>Description des quantités de colonies (par exemple "1+, 2+, 3+, 4+" ou "peu nombreuses, assez nombreuses, très nombreuses")</t>
  </si>
  <si>
    <t>Descripción de las cantidades de colonias (Ej., "1+, 2+, 3+, 4+" o "pocas, moderadas, muchas")</t>
  </si>
  <si>
    <t>Descrição das quantidades de colônias (Ex. "1+, 2+, 3+, 4+" ou "poucas, moderadas, muitas")</t>
  </si>
  <si>
    <t>Gram stain of bacterial colony</t>
  </si>
  <si>
    <t>Coloration de Gram de colonies bactériennes</t>
  </si>
  <si>
    <t>Tinción de Gram de colonia bacteriana</t>
  </si>
  <si>
    <t>Coloração de Gram da colônia bacteriana</t>
  </si>
  <si>
    <t>Biochemical test results (e.g., "catalase positive") for conventional test methods</t>
  </si>
  <si>
    <t>Résultats des tests biochimiques (par exemple, "catalase positive") pour les méthodes de test conventionnelles</t>
  </si>
  <si>
    <t>Resultados de pruebas bioquímicas (Ej., "Catalasa positiva") para métodos de análisis convencionales</t>
  </si>
  <si>
    <t>Resultados das provas bioquímicas (Ex. "Catalase positiva") para métodos de ensaio convencionais</t>
  </si>
  <si>
    <t>Organism name</t>
  </si>
  <si>
    <t>Nom de l'organisme</t>
  </si>
  <si>
    <t>Nombre del organismo</t>
  </si>
  <si>
    <t>Nome do organismo</t>
  </si>
  <si>
    <t>Isolate number (e.g., when more than one pathogen is encountered in a culture: isolate #1, isolate #2)</t>
  </si>
  <si>
    <t>Nombre d'isolats (par exemple, lorsque plusieurs cultures sont retrouvées en culture: isolat n ° 1, isolat n ° 2)</t>
  </si>
  <si>
    <t>Número del aislado (Ej., cuando se encuentra más de un patógeno en un cultivo: aislado #1, aislado #2)</t>
  </si>
  <si>
    <t>Número do isolado  (Ex. quando se encontra mais de um agente patogênico  em uma cultura: isolado# 1, isolado # 2)</t>
  </si>
  <si>
    <t>Champs de données pour les TSA</t>
  </si>
  <si>
    <t>CAMPOS DE DATOS DE LAS PSA</t>
  </si>
  <si>
    <t>CAMPOS PARA DADOS DAS PROVAS DE TSA</t>
  </si>
  <si>
    <t>Can the LIS record the AST method used to obtain each individual antibiotic result (e.g., Etest vs. Vitek vs. disk)?</t>
  </si>
  <si>
    <t>Est-ce que le SIL peut enregistrer la méthode de TSA utilisée pour obtenir chaque résultat de test antibiotique  (par exemple Etest vs Vitek vs disque)?</t>
  </si>
  <si>
    <t>¿Puede el SIL registrar la PSA que se ha utilizado para cada resultado individual de antibiótico (Ej., Etest vs Vitek vs disco)?</t>
  </si>
  <si>
    <t>O SIL pode registrar o  método de TSA  utilizado para se obter cada resultado individual de antibiótico  (Ex., Etest vs Vitek vs disco)?</t>
  </si>
  <si>
    <t>Disk diffusion zone sizes</t>
  </si>
  <si>
    <t>Taille des diamètre d'inhibition (disques)</t>
  </si>
  <si>
    <t>Halos de inhibición</t>
  </si>
  <si>
    <t>Diâmetros dos halos de inibição</t>
  </si>
  <si>
    <t>Disk diffusion interpretation (S/I/R)</t>
  </si>
  <si>
    <t>Interprétation des résultats en disque (S / I / R)</t>
  </si>
  <si>
    <t>Interpretación de los resultados de la técnica de difusión con discos (S / I / R)</t>
  </si>
  <si>
    <t>Interpretação da disco-difusão (S / I / R)</t>
  </si>
  <si>
    <t>MIC values</t>
  </si>
  <si>
    <t>Valeurs des CMI</t>
  </si>
  <si>
    <t>Valores de CMI</t>
  </si>
  <si>
    <t>Valores de CIM (MIC)</t>
  </si>
  <si>
    <t>MIC interpretation (S/I/R)</t>
  </si>
  <si>
    <t>Interprétation des CMI (S / I / R)</t>
  </si>
  <si>
    <t>Interpretación de las CMI (S / I / R)</t>
  </si>
  <si>
    <t>Interpretação de CIM  (S / I / R)</t>
  </si>
  <si>
    <t>Can the LIS record MIC values to three decimal places (e.g., 0.016)?</t>
  </si>
  <si>
    <t>Le SIL peut-il enregistrer les valeurs CMI à trois décimales (ex : 0,016)?</t>
  </si>
  <si>
    <t>¿Puede el SIL registrar valores de CMI con tres decimales (Ej., 0.016)?</t>
  </si>
  <si>
    <t>O SIL é capaz de registrar os valores de CIM com três casas decimais (Ex., 0.016)?</t>
  </si>
  <si>
    <t xml:space="preserve">Can the LIS suppress (hide) an individual antibiotic result from the patient report without deleting it from the database (for cascade reporting)? </t>
  </si>
  <si>
    <t>Le SIL peut-il supprimer (masquer) un résultat d'antibiotique du rapport du patient sans le supprimer de la base  de données (pour le rapport en cascade)?</t>
  </si>
  <si>
    <t>¿Puede el SIL suprimir (ocultar) un resultado antibiótico individual del informe del paciente sin eliminarlo de la base de datos (para informes de cascada)?</t>
  </si>
  <si>
    <t xml:space="preserve">O SIL é capaz de suprimir (esconder) um resultado de um  antibiótico individual a partir do relatório do paciente sem excluí-lo do banco de dados (para relatórios em cascata)? </t>
  </si>
  <si>
    <t>Does the LIS software automatically interpret zone sizes into Susceptible, Intermediate, Resistant?</t>
  </si>
  <si>
    <t>Le logiciel SIL interprète-t-il automatiquement les diamètres en Sensible, Intermédiaire, Résistant?</t>
  </si>
  <si>
    <t>¿Puede el software SIL interpretar automáticamente los diámetros de los halos de inhibición en Sensible, Intermedio, Resistente?</t>
  </si>
  <si>
    <t>O software do SIL é capaz de interpretar automaticamente os diâmetros dos halos de inibição em Sensível, Intermediário, Resistente?</t>
  </si>
  <si>
    <t>Does the LIS software automatically interpret MICs into Susceptible, Intermediate, Resistant?</t>
  </si>
  <si>
    <t>Le logiciel SIL interprète-t-il automatiquement les CIM en Sensible, Intermédiaire, Résistant?</t>
  </si>
  <si>
    <t>¿Puede el software SIL interpretar automáticamente las CMIs en Sensible, Intermedio, Resistente?</t>
  </si>
  <si>
    <t>O software do SIL é capaz de interpretar automaticamente as CIMs em Sensível, Intermediário, Resistente?</t>
  </si>
  <si>
    <t>If the LIS software automatically interprets zone sizes or MICs, are the breakpoints updated annually?</t>
  </si>
  <si>
    <t>Si le logiciel SIL interprète automatiquement lesdiamètres ou les CMI, les valeurs critiques sont-elles mises à jour annuellement?</t>
  </si>
  <si>
    <t>Si el software SIL interpreta automáticamente los diámetros de los halos de inhibición o CMIs, ¿se actualizan los puntos de corte anualmente?</t>
  </si>
  <si>
    <t>Se o software do SIL interpreta automaticamente os diâmetros dos halos ou CIMs, os pontos de corte são atualizados anualmente?</t>
  </si>
  <si>
    <t xml:space="preserve">If the LIS software automatically interprets zone sizes or MICs, are the breakpoints up to date today? </t>
  </si>
  <si>
    <t>Si le logiciel SIL interprète automatiquement les diamètre d'inhibition ou les CIM, les valeus critiques sont elles à jour aujourd'hui?</t>
  </si>
  <si>
    <t>Si el software SIL interpreta automáticamente los diámetros de los halos de inhibición o CMIs, ¿los puntos de corte están actualizados hoy?</t>
  </si>
  <si>
    <t>Se o software do SIL interpreta automaticamente os diâmetros dos halos ou CIMs, os pontos de corte são atualizados hoje?</t>
  </si>
  <si>
    <t>COMPTE RENDU ET CAPACITÉS DE TRANSFERT DE DONNÉES</t>
  </si>
  <si>
    <t>CAPACIDADES DE NOTIFICAÇÃO E TRANSFERÊNCIA DE DADOS</t>
  </si>
  <si>
    <t>(An “interface” is an electronic connection that allows information to flow automatically between different computer systems and software applications)</t>
  </si>
  <si>
    <t>(Une «interface» est une connexion électronique qui permet à l'information de circuler automatiquement entre différents systèmes informatiques et logiciels.)</t>
  </si>
  <si>
    <t>(Una "interfaz" es una conexión electrónica que permite que la información fluya automáticamente entre diferentes sistemas informáticos y aplicaciones de software)</t>
  </si>
  <si>
    <t>(Uma “interface” é uma conexão eletrônica que permite que a informação flua automaticamente entre diferentes sistemas de informática e aplicações de software)</t>
  </si>
  <si>
    <t>Can the LIS de-duplicate data based on select criteria (e.g., patient ID, organism, specimen date)?</t>
  </si>
  <si>
    <t>Le SIL peut-il dupliquer les données en fonction de certains critères (par exemple, identification du patient, organisme, date du spécimen)?</t>
  </si>
  <si>
    <t>¿Puede el SIL eliminar datos duplicados en función de criterios seleccionados (Ej., ID del paciente, organismo, fecha de la muestra)?</t>
  </si>
  <si>
    <t>O SIL é capaz de eliminar dados duplicados com base em critérios selecionados (Ex. ID do paciente, organismo, data da amostra)?</t>
  </si>
  <si>
    <t>Can the LIS produce a cumulative antibiogram report?</t>
  </si>
  <si>
    <t>Le SIL peut-il produire un rapport d'antibiogramme cumulatif?</t>
  </si>
  <si>
    <t>¿Puede el SIL producir un informe acumulado de antibiograma?</t>
  </si>
  <si>
    <t>O SIL é capaz de produzir um relatório cumulativo de antibiograma?</t>
  </si>
  <si>
    <t>Can the LIS interface with automated AST instruments (e.g., Vitek, Phoenix, SIRScan, BIOMIC)?</t>
  </si>
  <si>
    <t>Le SIL peut-il s’interfacer avec des instruments de TSA automatisés (Vitek, Phoenix, SIRScan, BIOMIC, par exemple)?</t>
  </si>
  <si>
    <t>¿Puede el SIL conectar con los instrumentos automatizados de PSA (Ej., Vitek, Phoenix, SIRScan, BIOMIC)?</t>
  </si>
  <si>
    <t>O SIL é capaz de interfacear com instrumentos automatizados de TSA (Ex., Vitek, Phoenix, SIRScan, BIOMIC)?</t>
  </si>
  <si>
    <t>Can the LIS interface with the Hospital Information System (HIS)?</t>
  </si>
  <si>
    <t>Est-ce que le SIL peut s’interfacer avec le système d’information hospitalier (SIH)?</t>
  </si>
  <si>
    <t>¿Puede el SIL conectar con el Sistema de Información Hospitalaria (SIH)?</t>
  </si>
  <si>
    <t>O SIL é capaz de interfacear com o Sistema de Informações do Hospital (SIH)?</t>
  </si>
  <si>
    <t>Can the LIS export line lists of data to .txt or .csv files?</t>
  </si>
  <si>
    <t>Le SIL peut-il exporter des listes de lignes de données vers des fichiers .txt ou .csv?</t>
  </si>
  <si>
    <t>¿Puede el SIL exportar listas de datos a archivos .txt o .csv?</t>
  </si>
  <si>
    <t>O SIL é capaz de  exportar listas de dados para arquivos .txt ou .csv?</t>
  </si>
  <si>
    <t>(Une «interface» est une connexion électronique qui permet à l'information de circuler automatiquement entre différents systèmes informatiques et applications logicielles.)</t>
  </si>
  <si>
    <t>(Uma “interface” é uma conexão eletrônica que permite que a informação flua automaticamente entre diferentes sistemas e aplicações de software)</t>
  </si>
  <si>
    <t>If the lab uses an automated AST instrument, describe the data flow between the LIS and the instrument software.</t>
  </si>
  <si>
    <t>Si le laboratoire utilise un instrument de TSA automatisé, décrivez le flux de données entre le SIL et le logiciel de l'instrument.</t>
  </si>
  <si>
    <t>Si el laboratorio utiliza un instrumento automatizado de PSA, describa el flujo de datos entre el SIL y el software del instrumento.</t>
  </si>
  <si>
    <t>Caso o laboratório use um instrumento automatizado para TSA, descreva o fluxo de dados entre o SIL e o software do instrumento.</t>
  </si>
  <si>
    <t>1: Systems are not currently interfaced</t>
  </si>
  <si>
    <t>1: les systèmes ne sont pas interfacés actuellement</t>
  </si>
  <si>
    <t>1: Los sistemas no están actualmente interconectados</t>
  </si>
  <si>
    <t xml:space="preserve">1: Atualmente os sistemas não estão interligados </t>
  </si>
  <si>
    <t>2: Bidirectional: Patient information (e.g., medical record number, specimen number, specimen type) flows from the LIS into the instrument software, AND results (ID and AST) flow from the instrument software back into the LIS.</t>
  </si>
  <si>
    <t>2: bidirectionnel: les informations du patient (par exemple, numéro de dossier médical, numéro d'échantillon, type d'échantillon) sont transférées du SIL dans le logiciel de l'instrument, ET les résultats (identification et TSA) sont renvoyés du logiciel de l'instrument dans le SIL.</t>
  </si>
  <si>
    <t>2: Bidireccional: la información del paciente (Ej., número de registro médico, número de muestra, tipo de muestra) fluye del SIL al software del instrumento, Y los resultados (ID y PSA) fluyen desde el software del instrumento al SIL.</t>
  </si>
  <si>
    <t>2: Bidirecional: A informação do paciente (ex., número de registo médico, número da amostra, tipo de amostra) flui a partir do SIL para o software do instrumento, E os resultados (ID e TSA) fluem a partir do software do instrumento de volta para o SIL.</t>
  </si>
  <si>
    <t>3: Uni-directional: Patient information flows from the LIS into the instrument software, but results do not transmit back into the LIS</t>
  </si>
  <si>
    <t>3: Unidirectionnel: les informations du patient transitent du SIL dans le logiciel de l'instrument, mais les résultats ne sont pas retransmis dans le SIL</t>
  </si>
  <si>
    <t>3: Unidireccional: la información del paciente fluye del SIL al software del instrumento, pero los resultados no se transmiten de vuelta al SIL</t>
  </si>
  <si>
    <t>3: Unidirecional: A informação do paciente flui do SIL para o software do instrumento, mas os resultados não são transmitidos de volta para o LIS</t>
  </si>
  <si>
    <t>4: Uni-directional: Results transmit from the instrument software into the LIS, but patient information cannot flow from the LIS into the instrument software.</t>
  </si>
  <si>
    <t>4: Unidirectionnel: les résultats sont transmis du logiciel de l'instrument au SIL mais les informations patient ne peuvent pas être transmises du SIL au logiciel de l'instrument.</t>
  </si>
  <si>
    <t>4: Unidireccional: los resultados se transmiten desde el software del instrumento al SIL, pero la información del paciente no puede fluir desde el SIL al software del instrumento.</t>
  </si>
  <si>
    <t>4: Unidirecional: Os resultados são transmitidos a partir do software do instrumento para o LIS, mas as informações do paciente não podem fluir a partir do SIL para o software do instrumento.</t>
  </si>
  <si>
    <t>NA: no automated instruments</t>
  </si>
  <si>
    <t>NA: pas d'instruments automatisés</t>
  </si>
  <si>
    <t>NA: sin instrumentos automatizados</t>
  </si>
  <si>
    <t>NA: Não há instrumentos automatizados</t>
  </si>
  <si>
    <t xml:space="preserve">Does the hospital use a Hospital Information System (HIS) or Electronic Medical Record (EMR)? </t>
  </si>
  <si>
    <t>L'hôpital utilise-t-il un système d'information hospitalier (SIH) ou un dossier médical électronique (DME)?</t>
  </si>
  <si>
    <t>¿Utiliza el hospital un Sistema de Información Hospitalaria (SIH) o un Registro médico electrónico (RME)?</t>
  </si>
  <si>
    <t xml:space="preserve">O hospital utiliza um Sistema de Informação Hospitalar (SIH) ou um Registro Médico Eletrônico (RME)? </t>
  </si>
  <si>
    <t>If yes, please record system name in comments</t>
  </si>
  <si>
    <t>Si oui, veuillez enregistrer le nom du système dans les commentaires</t>
  </si>
  <si>
    <t>En caso afirmativo, escriba el nombre del sistema en los comentarios</t>
  </si>
  <si>
    <t>Se sim, por favor registre o nome do sistema nos comentários</t>
  </si>
  <si>
    <t>If the LIS and HIS/EMR are interfaced, describe the data flow between the LIS and the HIS/EMR</t>
  </si>
  <si>
    <t>Si le SIL et le SIH / DME sont interfacés, décrire le flux de données entre le SIL et le SIS /DME</t>
  </si>
  <si>
    <t>Si el SIL y el SIH/RME están conectados, describa el flujo de datos entre el LIS y el SIH/RME</t>
  </si>
  <si>
    <t>Se o SIL e o SIH / RME são interligados, descreva o fluxo de dados entre o SIL e o SIH/RME</t>
  </si>
  <si>
    <t>1: Systems are not interfaced</t>
  </si>
  <si>
    <t>1: les systèmes ne sont pas interfacés</t>
  </si>
  <si>
    <t>1: los sistemas no están interconectados</t>
  </si>
  <si>
    <t>1: Os sistemas não são interligados</t>
  </si>
  <si>
    <t xml:space="preserve">2: Bidirectional: Patient information (e.g., demographics, lab orders) flows from the HIS into the LIS, AND patient microbiology (ID/AST) results flow from the LIS back into the HIS. </t>
  </si>
  <si>
    <t>2: bidirectionnel: les informations du patient (données démographiques, anaylses de laboratoire, etc.) sont transmises du SIH au SIL, ET les résultats de microbiologie du patient (Identification / TSA) sont renvoyés du SIL au SIS.</t>
  </si>
  <si>
    <t>2: Bidireccional: la información del paciente (Ej., datos demográficos, órdenes de laboratorio) fluye del SIH al SIL, Y los resultados microbiológicos del paciente (ID/PSA) fluyen del SIL al SIH.</t>
  </si>
  <si>
    <t xml:space="preserve">2: Bidirecional: A informação do paciente (Ex., dados demográficos, ordens do laboratório) flui a partir da SIH para o SIL E os resultados da microbiologia do paciente (ID / TSA)  fluem a  partir do SIL  de volta para o SIH. </t>
  </si>
  <si>
    <t xml:space="preserve">3: Uni-directional: Patient demographics transmit from the HIS into the LIS, but patient results do not transmit back into the HIS </t>
  </si>
  <si>
    <t>3: Unidirectionnel: les données démographiques des patients sont transmises du SIS au SIL mais les résultats des patients ne sont pas retransmis dans le SIH.</t>
  </si>
  <si>
    <t>3: Unidireccional: los datos demográficos del paciente se transmiten del SIH al SIL, pero los resultados del paciente no se transmiten al SIH</t>
  </si>
  <si>
    <t xml:space="preserve">3: Unidirecional: Os dados demográficos do paciente são transmitidos a partir do SIH para o SIL, mas os resultados dos pacientes não são transmitidos de volta para o SIH </t>
  </si>
  <si>
    <t xml:space="preserve">4: Uni-directional: Patient results transmit from the LIS into the HIS, but patient demographics cannot transmit from the HIS into the LIS. </t>
  </si>
  <si>
    <t>4: Unidirectionnel: les résultats du patient sont transmis du SIL au SIS, mais les données démographiques des patients ne peuvent pas être transmis du SIS au SIL</t>
  </si>
  <si>
    <t>4: Unidireccional: los resultados del paciente se transmiten desde el SIL al SIH, pero los datos demográficos del paciente no puede transmitirse desde el SIH al SIL.</t>
  </si>
  <si>
    <t xml:space="preserve">4: Unidirecional: Os resultados do paciente são transmitidos a partir do SIL para o SIH, mas os dados demográficos do paciente não podem transmitidos a partir do SIH para o SIL. </t>
  </si>
  <si>
    <t xml:space="preserve">NA: no LIS or no HIS </t>
  </si>
  <si>
    <t>NA: pas de SIL ou pas de SIH</t>
  </si>
  <si>
    <t>NA: sin SIL o sin SIH</t>
  </si>
  <si>
    <t>NA: Não existe SIL ou não existe SIH</t>
  </si>
  <si>
    <t>3- GESTÃO DE DADOS</t>
  </si>
  <si>
    <t>Please note: all questions refer only to clinical patient specimens, NOT to research specimens</t>
  </si>
  <si>
    <t>Remarque: toutes les questions ne concernent que les échantillons de patients cliniques, PAS les échantillons destinés à la recherche.</t>
  </si>
  <si>
    <t>Nota: tenga en cuenta que todas las preguntas se refieren solo a muestras clínicas de pacientes, NO a muestras de investigación</t>
  </si>
  <si>
    <t>Atenção: todas as questões referem-se apenas a amostras clínicas de pacientes, NÃO a  amostras de investigação (pesquisa)</t>
  </si>
  <si>
    <t xml:space="preserve">IDENTIFICAÇÃO DE PACIENTES E AMOSTRAS </t>
  </si>
  <si>
    <t>Are inpatients assigned a unique patient ID number upon admission to the hospital?</t>
  </si>
  <si>
    <t>Les patients hospitalisés se voient-ils attribuer un numéro d'identification unique lors de leur admission à l'hôpital?</t>
  </si>
  <si>
    <t>¿Se les asigna a los pacientes que ingresan en el hospital un único número de identificación?</t>
  </si>
  <si>
    <t>Aos pacientes internados é  atribuído um número único de identificação no momento da admissão ao hospital?</t>
  </si>
  <si>
    <t>Are outpatients assigned a unique patient ID number upon registration at the clinic?</t>
  </si>
  <si>
    <t>Les patients ambulatoires se voient-ils attribuer un numéro d'identification unique lors de leur inscription à la clinique?</t>
  </si>
  <si>
    <t>¿Se les asigna a los pacientes ambulatorios un único número de identificación al registrarse en la clínica de salud?</t>
  </si>
  <si>
    <t>Aos  pacientes ambulatoriais é atribuído um número único de identificação no momento do registro na clínica?</t>
  </si>
  <si>
    <t>Are patient ID numbers assigned in such a way that no two patients are given the same number in the course of one year?</t>
  </si>
  <si>
    <t>Les numéros d'identification des patients sont-ils attribués de telle sorte qu'aucun patient ne reçoive le même numéro au cours d'une année?</t>
  </si>
  <si>
    <t>¿Se asignan los números de identificación de paciente de tal manera que no se pueda dar el mismo número a dos pacientes diferentes en el transcurso de un mismo año?</t>
  </si>
  <si>
    <t>Os números de identificação dos pacientes são atribuídos de modo em que não haja dois pacientes que recebam o mesmo número durante um ano?</t>
  </si>
  <si>
    <t>Do patients retain the same patient ID number each time they are admitted to the hospital?</t>
  </si>
  <si>
    <t>Les patients conservent-ils le même numéro d'identification de patient chaque fois qu'ils sont admis à l'hôpital?</t>
  </si>
  <si>
    <t>¿Los pacientes conservan el mismo número de identificación cada vez que ingresan en el hospital?</t>
  </si>
  <si>
    <t>Os pacientes conservam o mesmo número de identificação cada vez que são admitidos no hospital?</t>
  </si>
  <si>
    <t>Does the laboratory use the same patient ID numbers assigned by the hospital and/or clinics?</t>
  </si>
  <si>
    <t>Le laboratoire utilise-t-il les mêmes numéros d'identification de patient attribués par l'hôpital et / ou les cliniques?</t>
  </si>
  <si>
    <t>¿Utiliza el laboratorio los mismos números de identificación de paciente asignados por el hospital o las clínicas?</t>
  </si>
  <si>
    <t>O laboratório utiliza os mesmos números de identificação de pacientes atribuídos pelo hospital e/ou clínicas?</t>
  </si>
  <si>
    <t>Does the laboratory assign a unique specimen ID number to each specimen received in the lab?</t>
  </si>
  <si>
    <t>Le laboratoire attribue-t-il un numéro d'identification unique à chaque échantillon reçu au laboratoire?</t>
  </si>
  <si>
    <t>¿El laboratorio asigna un número de identificación de muestra único para cada muestra recibida en el laboratorio?</t>
  </si>
  <si>
    <t>O laboratório atribui um número único de identificação da amostra  para cada amostra recebida no laboratório?</t>
  </si>
  <si>
    <t>Are specimen numbers assigned in such a way that no two specimens are given the same number during one year?</t>
  </si>
  <si>
    <t>Les numéros d'échantillon sont-ils attribués de manière à ce que deux échantillons ne reçoivent pas le même numéro pendant une année?</t>
  </si>
  <si>
    <t>¿Se asignan los números de muestra de tal manera que no se les de el mismo número a dos muestras diferentes en el transcurso de un mismo un año?</t>
  </si>
  <si>
    <t>Os números de identificação das amostras  são atribuídas de modo em que não haja duas amostras que recebam o mesmo número durante um ano?</t>
  </si>
  <si>
    <t>BON DE DEMANDE D'ANALYSE</t>
  </si>
  <si>
    <t>Review the specimen requisition form. Does it contain each of the following data fields?</t>
  </si>
  <si>
    <t>Passez en revue le formulaire de demande type. Contient-il chacun des champs de données suivants?</t>
  </si>
  <si>
    <t>Revise el formulario de solicitud de muestra. ¿Existen campos individuales para cada uno de los siguientes datos?</t>
  </si>
  <si>
    <t xml:space="preserve">Revisar o formulário de solicitação da amostra. Existem campos individuais para cada um dos seguintes dados? </t>
  </si>
  <si>
    <t>Patient Name</t>
  </si>
  <si>
    <t>Nom du patient</t>
  </si>
  <si>
    <t>Nome do paciente</t>
  </si>
  <si>
    <t>Patient Date of Birth or Age</t>
  </si>
  <si>
    <t>Date de naissance du patient ou âge</t>
  </si>
  <si>
    <t>Fecha de nacimiento o edad del paciente</t>
  </si>
  <si>
    <t>Data de nascimento ou idade do paciente</t>
  </si>
  <si>
    <t>Patient Location (Ward or unit at time of specimen collection, e.g., "ICU")</t>
  </si>
  <si>
    <t>Emplacement du patient (service ou unité au moment de la collecte de l'échantillon, p. Ex. "USI")</t>
  </si>
  <si>
    <t>Localização do paciente (Ala ou unidade no momento da coleta da amostra, por exemplo, "UTI")</t>
  </si>
  <si>
    <t>Specimen Type (e.g., Wound)</t>
  </si>
  <si>
    <t>Origine de l'échantillon / localisation anatomique (par exemple bras)</t>
  </si>
  <si>
    <t>Origen de la muestra / sitio del cuerpo (Ej., brazo)</t>
  </si>
  <si>
    <t>Origem da Amostra/ Àrea do corpo  (Ex. Braço)</t>
  </si>
  <si>
    <t>Data da coleta de amostra</t>
  </si>
  <si>
    <t>Heure du prélèvement de l'échantillon</t>
  </si>
  <si>
    <t>Hora de recogida de la muestra</t>
  </si>
  <si>
    <t>Hora da coleta da amostra</t>
  </si>
  <si>
    <t>Test order (e.g., culture &amp; AST)</t>
  </si>
  <si>
    <t>Demande d'analyse (par exemple culture et TSA)</t>
  </si>
  <si>
    <t>Orden de las pruebas (Ej., cultivo y PSA)</t>
  </si>
  <si>
    <t>Solicitação de teste (ex., cultura e TSA)</t>
  </si>
  <si>
    <t>Name of physician ordering the test</t>
  </si>
  <si>
    <t>Nom du médecin qui a demandé l'analyse</t>
  </si>
  <si>
    <t>Nombre del médico que ordena la prueba.</t>
  </si>
  <si>
    <t>Nome do médico solicitante</t>
  </si>
  <si>
    <t>Name or initials of person collecting specimen</t>
  </si>
  <si>
    <t>Nom ou initiales de la personne qui prélève l'échantillon</t>
  </si>
  <si>
    <t>Nombre o iniciales de la persona que recoge la muestra.</t>
  </si>
  <si>
    <t>Nome ou iniciais da pessoa que coletou a amostra</t>
  </si>
  <si>
    <t>ENTRADA DO PEDIDO</t>
  </si>
  <si>
    <t>Review the process of specimen receiving/order entry. Are each of the following variables captured in the logbook or computer system?</t>
  </si>
  <si>
    <t>Examinez le processus de réception des échantillons / de la demande d'analyse. Les variables suivantes sont-elles saisies dans le journal de bord ou le système informatique?</t>
  </si>
  <si>
    <t>Revise el proceso de recepción de muestras/recepción de envíos. ¿Se recogen cada una de las siguientes variables en el libro de registro o en el sistema informático?</t>
  </si>
  <si>
    <t xml:space="preserve">Avaliar o processo de recepção de amostras/pedidos.  As seguintes variáveis são ​​capturadas no livro de registro ou no sistema eletrônico? </t>
  </si>
  <si>
    <t>Ubicación del paciente (sala o unidad al momento de la recogida de la muestra.Ej., "UCI")</t>
  </si>
  <si>
    <t>Origine de l'échantillon / site corporel (par exemple bras)</t>
  </si>
  <si>
    <t>Origem da Amostra/ Parte do corpo  (Ex. Braço)</t>
  </si>
  <si>
    <t>Analyses demandées (par exemple culture et TSA)</t>
  </si>
  <si>
    <t>Nom du médecin qui a prescrit l'analyse</t>
  </si>
  <si>
    <t>Name or initials of person receiving specimen</t>
  </si>
  <si>
    <t>Nom ou initiales de la personne réceptionnant l'échantillon</t>
  </si>
  <si>
    <t>Nombre o iniciales de la persona que recibe la muestra.</t>
  </si>
  <si>
    <t>Nome ou iniciais da pessoa que recebeu a amostra</t>
  </si>
  <si>
    <t>The work card is where culture observations and biochemical test results are recorded. Work cards may be paper or electronic.</t>
  </si>
  <si>
    <t>La feuille de paillasse est l'endroit où les observations de culture et les résultats des tests biochimiques sont enregistrés. Les feuilles de paillasse peuvent être en papier ou électroniques.</t>
  </si>
  <si>
    <t>La tarjeta de trabajo es donde se registran las observaciones deL cultivo y los resultados de las pruebas bioquímicas. Las tarjetas de trabajo pueden ser en papel o electrónicas.</t>
  </si>
  <si>
    <t>O cartão de trabalho é onde se registram as observações de cultura e os resultados dos testes bioquímicos. Os cartões de trabalho podem ser em papel ou formato eletrônico.</t>
  </si>
  <si>
    <t>Review the workcard of a recently completed culture. Are the following elements recorded?</t>
  </si>
  <si>
    <t>Passez en revue la feuille de paillasse d'une culture récemment terminée. Les éléments suivants sont-ils renseignés?</t>
  </si>
  <si>
    <t>Revise la tarjeta de trabajo de un cultivo hecho recientemente. ¿Se registran los siguientes elementos?</t>
  </si>
  <si>
    <t>Revise o cartão de trabalho de uma cultura concluída recentemente. Os seguintes elementos estão registrados?</t>
  </si>
  <si>
    <t>Coloração de Gram da amostra (Ex. Coloração de Gram de escarro)</t>
  </si>
  <si>
    <t>Description des morphologies de colonies (par exemple "muqueuse, lactose-fermentant" ou "bêta-hémolytique")</t>
  </si>
  <si>
    <t>Gram stain of bacterial growth colonies (gram-positive cocci, gram-negative bacilli, etc.)</t>
  </si>
  <si>
    <t>Coloration de Gram des colonies bactérienne (cocci à Gram positif, bacilles à Gram négatif, etc.)</t>
  </si>
  <si>
    <t>Tinción de Gram de colonias bacterianas (cocos gram positivos, bacilos gram negativos, etc.)</t>
  </si>
  <si>
    <t>Coloração de Gram de colônias bacterianas (cocos Gram positivos, bacilos Gram negativos, etc.)</t>
  </si>
  <si>
    <t xml:space="preserve">Resultados de pruebas bioquímicas convencionales (Ej., "Catalasa positiva") </t>
  </si>
  <si>
    <t>Resultados das provas bioquímicas (ex., "catalase positiva") para métodos de ensaio convencionais</t>
  </si>
  <si>
    <t>AST Method used for each antibiotic (e.g., Disk, Etest, Instrument)</t>
  </si>
  <si>
    <t>Méthode TSA utilisée pour chaque antibiotique (par exemple, Disk, Etest, Instrument)</t>
  </si>
  <si>
    <t>PSA utilizada para cada antibiótico (Ej., Disco, Etest, Instrumento)</t>
  </si>
  <si>
    <t>Método de TSA utilizado para cada antibiótico (Ex, Disco, Etest, Instrumento)</t>
  </si>
  <si>
    <t>Dimaètre d'inhibition (disque)</t>
  </si>
  <si>
    <t xml:space="preserve">Tamanhos dos Halos de Inibição </t>
  </si>
  <si>
    <t>Interprétation du diamètre d'inhibition (S / I / R)</t>
  </si>
  <si>
    <t>Interpretación de la técnica de difusión con discos (S / I / R)</t>
  </si>
  <si>
    <t>Interpretação do Disco- difusão (S / I / R)</t>
  </si>
  <si>
    <t>Valeurs de la CMI</t>
  </si>
  <si>
    <t>Valores de MIC / CIM</t>
  </si>
  <si>
    <t>Interprétation de CMI (S / I / R)</t>
  </si>
  <si>
    <t>Interpretación de CMI (S / I / R)</t>
  </si>
  <si>
    <t>Interpretação do MIC (S / I / R)</t>
  </si>
  <si>
    <t>Describe the laboratory’s system for recording culture observations</t>
  </si>
  <si>
    <t>Décrire le système utilisé par le laboratoire pour enregistrer les observations de culture</t>
  </si>
  <si>
    <t>Describir el sistema de laboratorio para registrar observaciones de los cultivos.</t>
  </si>
  <si>
    <t>Descreva o sistema do laboratório para registrar as observações de cultura</t>
  </si>
  <si>
    <t>1: Laboratory Information System (LIS)</t>
  </si>
  <si>
    <t>1: Système d'information de laboratoire (SIL)</t>
  </si>
  <si>
    <t>1: Sistema de información de laboratorio (SIL)</t>
  </si>
  <si>
    <t>1: Sistema de Informação Laboratorial (SIL)</t>
  </si>
  <si>
    <t>2: Fully electronic, but non-LIS (e.g., Word, Excel)</t>
  </si>
  <si>
    <t>2: Entièrement électronique, mais pas un SIL à proprement parler (Word, Excel, par exemple)</t>
  </si>
  <si>
    <t>2: completamente electrónico, pero no SIL (Ej., Word, Excel)</t>
  </si>
  <si>
    <t>2: Totalmente eletrônico, mas não SIL (Ex, Word, Excel)</t>
  </si>
  <si>
    <t>3: Handwritten on a paper work card (e.g., the back of the specimen requisition) or in a logbook</t>
  </si>
  <si>
    <t>3: Ecrit à la main sur une fiche de travail papier (par exemple, au verso de la demande d'échantillon) ou dans un cahier de paillasse</t>
  </si>
  <si>
    <t>3: Escrito a mano en una tarjeta de trabajo en papel (Ej., el reverso de la solicitud de muestra) o en un libro de registro</t>
  </si>
  <si>
    <t>3: Manuscritas em um cartão de trabalho de papel (ex. no verso da requisição da amostra) ou em livro de registro</t>
  </si>
  <si>
    <t>4: Combination of handwritten and electronic recording</t>
  </si>
  <si>
    <t>4: Une combinaison d'enregistrements manuscrits et électroniques</t>
  </si>
  <si>
    <t>4: combinación de registro manual y electrónico</t>
  </si>
  <si>
    <t>4: Combinação do registro escrito à mão e eletrônico</t>
  </si>
  <si>
    <t>5: Internal results are not routinely recorded</t>
  </si>
  <si>
    <t>5: les résultats internes ne sont pas systématiquement enregistrés</t>
  </si>
  <si>
    <t>5: Los resultados internos no se registran rutinariamente</t>
  </si>
  <si>
    <t>5: Os resultados internos não são registrados rotineiramente</t>
  </si>
  <si>
    <t>Are culture observations/work cards retained for a defined time period (at least one year)?</t>
  </si>
  <si>
    <t>Les observations de culture / feuilles de paillasse sont-elles conservées pendant une période définie (au moins un an)?</t>
  </si>
  <si>
    <t>¿Se conservan las observaciones de cultivos/ tarjetas de trabajo durante un período de tiempo definido (al menos un año)?</t>
  </si>
  <si>
    <t>As observações da cultura / cartões de trabalho são mantidas por um período de tempo definido (pelo menos um ano)?</t>
  </si>
  <si>
    <t>COMPTE RENDU DE RÉSULTATS DE TSA</t>
  </si>
  <si>
    <t xml:space="preserve">NOTIFICAÇÃO DOS RESULTADOS DE TSA </t>
  </si>
  <si>
    <t>Describe the laboratory’s system for reporting AST results to the physician/client</t>
  </si>
  <si>
    <t>Décrire le système utilisé par le laboratoire pour la communication des résultats du TSA au médecin / client</t>
  </si>
  <si>
    <t>Describa el sistema del laboratorio para informar de los resultados de las PSA al médico / cliente.</t>
  </si>
  <si>
    <t>Descreva o sistema do laboratório para informar os resultados de TSA para o médico / cliente</t>
  </si>
  <si>
    <t>1: Fully electronic system – physician does not receive a paper report from the lab</t>
  </si>
  <si>
    <t>1: Système entièrement électronique - le médecin ne reçoit pas de papier du laboratoire</t>
  </si>
  <si>
    <t>1: Sistema completamente electrónico: el médico no recibe ningún papel del laboratorio</t>
  </si>
  <si>
    <t>1: Sistema totalmente eletrônico - o médico não recebe papel do laboratório</t>
  </si>
  <si>
    <t>2: Combination of paper and electronic reporting</t>
  </si>
  <si>
    <t>2: Combinaison de rapports papier et électroniques</t>
  </si>
  <si>
    <t>2: combinación de informes en papel y electrónicos</t>
  </si>
  <si>
    <t>2: Combinação de relatórios em papel e formato eletrônico</t>
  </si>
  <si>
    <t>3: Fully paper-based system</t>
  </si>
  <si>
    <t>3: Système entièrement à base de papier</t>
  </si>
  <si>
    <t>3: sistema totalmente basado en papel</t>
  </si>
  <si>
    <t>3: Sistema baseado em papel totalmente</t>
  </si>
  <si>
    <t>If AST results are fully or partially issued to physicians on paper, please describe that system.</t>
  </si>
  <si>
    <t>Si les résultats de TSA sont entièrement ou partiellement communiqués aux médecins sur papier, veuillez décrire ce système.</t>
  </si>
  <si>
    <t>Si los resultados de las PSA se emiten total o parcialmente a los médicos en papel, describa ese sistema.</t>
  </si>
  <si>
    <t>Se os resultados de TSA são totalmente ou parcialmente emitidos em papel para os médicos, por favor descreva esse sistema.</t>
  </si>
  <si>
    <t>1: Printout from the Laboratory Information System</t>
  </si>
  <si>
    <t>1: Impression à partir du système d'information de laboratoire</t>
  </si>
  <si>
    <t>1: Impresión desde el Sistema de Información del Laboratorio</t>
  </si>
  <si>
    <t>1: Impresso a partir do Sistema de Informação Laboratorial</t>
  </si>
  <si>
    <t>2: Printout from the ID/AST instrument (e.g., Vitek, Phoenix, etc.)</t>
  </si>
  <si>
    <t>2: Impression à partir de l'instrument d'identification / TSA (par exemple Vitek, Phoenix, etc.)</t>
  </si>
  <si>
    <t>2: Impresión desde el instrumento ID/PSA (Ej., Vitek, Phoenix, etc.)</t>
  </si>
  <si>
    <t>2: Impresso do instrumento ID / TSA (ex., Vitek, Phoenix, etc.)</t>
  </si>
  <si>
    <t>3: Printout from a non-LIS computer program (e.g., Word, Excel)</t>
  </si>
  <si>
    <t>3: Impression à partir d’un programme informatique autre que le SIL (par exemple, Word, Excel)</t>
  </si>
  <si>
    <t>3: Impresión desde un programa de ordenador que no sea SIL (Ej., Word, Excel)</t>
  </si>
  <si>
    <t>3: Impresso a partir de um programa de computador não-SIL (ex. Word, Excel)</t>
  </si>
  <si>
    <t>4: Primarily hand-written onto a paper form</t>
  </si>
  <si>
    <t>4: Principalement écrit à la main sur un formulaire papier</t>
  </si>
  <si>
    <t>4: principalmente escrito a mano en papel</t>
  </si>
  <si>
    <t>4: Primariamente escrito a mão no papel</t>
  </si>
  <si>
    <t>Are AST reports retained for a defined time period (at least one year)?</t>
  </si>
  <si>
    <t>Les rapports TSA sont-ils conservés pendant une période définie (au moins un an)?</t>
  </si>
  <si>
    <t>¿Se retienen los informes de las PSA por un período de tiempo definido (al menos un año)?</t>
  </si>
  <si>
    <t>Os relatórios de TSA são retidos por um período de tempo definido (pelo menos um ano)?</t>
  </si>
  <si>
    <t>SAUVEGARDE ET SECURITE DES DONNÉES</t>
  </si>
  <si>
    <t>SEGURANÇA E CÓPIA DE SEGURANÇA DOS DADOS</t>
  </si>
  <si>
    <t xml:space="preserve">What method is used to back up the lab’s electronic patient records? </t>
  </si>
  <si>
    <t>Quelle méthode est utilisée pour sauvegarder les dossiers informatisés  des patients du laboratoire?</t>
  </si>
  <si>
    <t>¿Qué método se utiliza en el laboratorio para hacer una copia de seguridad de los registros electrónicos de los pacientes?</t>
  </si>
  <si>
    <t xml:space="preserve">Que método é utilizado no laboratório para fazer backup de registros eletrônicos dos pacientes? </t>
  </si>
  <si>
    <t>1: Facility or cloud server - 2: External hard drive, USB, or CD - 3: Internal hard drive (PC or laptop) - 4: None - NA: do not use an electronic database for patient records</t>
  </si>
  <si>
    <t>1: Serveur virtuel ou physique - 2: Disque dur externe, USB ou CD - 3: Disque dur interne (PC ou ordinateur portable) - 4: Aucun - NA: n'utilise pas de base de données informatisée pour les dossiers des patients.</t>
  </si>
  <si>
    <t>1: instalación o servidor en la nube - 2: disco duro externo, USB o CD - 3: disco duro interno (PC u ordenador portátil) - 4: ninguno - NA: no se utiliza una base de datos electrónica para registros de pacientes</t>
  </si>
  <si>
    <t>1: Servidor local ou em nuvem - 2: Disco rígido externo, USB ou CD - 3: Disco rígido interno (PC ou laptop) - 4: Nenhum - NA: não utiliza banco de dados eletrônicos para registros de pacientes</t>
  </si>
  <si>
    <t>How frequently are the lab’s electronic records backed up?</t>
  </si>
  <si>
    <t>À quelle fréquence les données informatisées du laboratoire sont-ils sauvegardés?</t>
  </si>
  <si>
    <t>¿Con qué frecuencia se hace una copia de seguridad de los registros electrónicos del laboratorio?</t>
  </si>
  <si>
    <t>Com que frequência é realizada a cópia de segurança dos registros eletrônicos do laboratório?</t>
  </si>
  <si>
    <t>1: Daily/Continuously - 2: Other frequency, specify in comments - 3: Never - NA: no electronic database</t>
  </si>
  <si>
    <t>1: tous les jours / de façon continue - 2: autre fréquence, préciser dans les commentaires - 3: jamais - NA: pas de base de données informatique</t>
  </si>
  <si>
    <t>1: Diariamente / Continuamente - 2: Otra frecuencia, especificar en comentarios - 3: Nunca - NA: sin base de datos electrónica</t>
  </si>
  <si>
    <t>1: Diariamente / Continuamente - 2: Outra frequência, especificar nos comentários - 3: Nunca - NA: nenhum banco de dados eletrônico</t>
  </si>
  <si>
    <t>Does the lab or facility have a policy and/or SOP on data backup and restoration?</t>
  </si>
  <si>
    <t>Le laboratoire ou l'installation dispose-t-il d'une politique et / ou d'une PON sur la sauvegarde et la restauration de données?</t>
  </si>
  <si>
    <t>¿Tienen el laboratorio o el centro una política y / o POE sobre copias de seguridad y restauración de los datos?</t>
  </si>
  <si>
    <t>O laboratório ou instituição tem uma política e /ou POP sobre cópias de segurança de dados e restauração?</t>
  </si>
  <si>
    <t>Does the lab or facility have a policy and/or SOP on data security and confidentiality?</t>
  </si>
  <si>
    <t>Le laboratoire ou l'installation dispose-t-il d'une politique et / ou d'une PON sur la sécurité et la confidentialité des données?</t>
  </si>
  <si>
    <t>¿Tienen el laboratorio o el centro una política y / o POE sobre seguridad y confidencialidad de los datos?</t>
  </si>
  <si>
    <t>O laboratório ou instituição tem uma política e /ou POP sobre segurança e confidencialidade de dados?</t>
  </si>
  <si>
    <t>Do laboratory computers have antivirus software?</t>
  </si>
  <si>
    <t>Les ordinateurs de laboratoire ont-ils un logiciel antivirus?</t>
  </si>
  <si>
    <t>¿Tienen los ordenadores de laboratorio software antivirus?</t>
  </si>
  <si>
    <t>Os computadores de laboratório tem software antivírus?</t>
  </si>
  <si>
    <t>Do laboratory computers have genuine (not pirated) Operating Systems?</t>
  </si>
  <si>
    <t>Les ordinateurs de laboratoire disposent-ils de systèmes d'exploitation originaux (non piratés)?</t>
  </si>
  <si>
    <t>¿Tienen los ordenadores de laboratorio sistemas operativos originales (no pirateados)?</t>
  </si>
  <si>
    <t>Os computadores de laboratório tem sistemas operacionais genuínos (não piratas)?</t>
  </si>
  <si>
    <t>PARTAGE DE DONNÉES CONCERNANT LA RAM</t>
  </si>
  <si>
    <t>Is the laboratory currently a member of any AMR Surveillance Systems?</t>
  </si>
  <si>
    <t>Le laboratoire est-il actuellement membre d'un système de surveillance pour la RAM?</t>
  </si>
  <si>
    <t>¿Es actualmente el laboratorio miembro de algún sistema de vigilancia de RAM?</t>
  </si>
  <si>
    <t>O laboratório é atualmente membro de algum sistema de vigilância de RAM?</t>
  </si>
  <si>
    <t>WHO GLASS (Global Antimicrobial Resistance Surveillance System)</t>
  </si>
  <si>
    <t>WHO GLASS (Système mondial de surveillance de la résistance aux antimicrobiens)</t>
  </si>
  <si>
    <t>Sistema mundial de vigilancia de la resistencia a los antimicrobianos (GLASS) de la OMS</t>
  </si>
  <si>
    <t>GLASS (Sistema Mundial de Vigilância da Resistência aos Antimicrobianos) da OMS</t>
  </si>
  <si>
    <t>Other, please describe in comments</t>
  </si>
  <si>
    <t>Autre, veuillez décrire dans les commentaires</t>
  </si>
  <si>
    <t>Otro, por favor describa en los comentarios</t>
  </si>
  <si>
    <t>Outro, por favor descreva nos comentários</t>
  </si>
  <si>
    <t>Which of the following methods are currently used to submit data to the AMR surveillance network(s)?</t>
  </si>
  <si>
    <t>Laquelle des méthodes suivantes est actuellement utilisée pour soumettre des données au (x) réseau (s) de surveillance pour la RAM?</t>
  </si>
  <si>
    <t>¿Cuál de los siguientes métodos se utiliza actualmente para enviar datos a las redes de vigilancia de RAM?</t>
  </si>
  <si>
    <t>Quais dos seguintes métodos é utilizado ​​atualmente para enviar dados para a (s)rede (s) de vigilância da RAM?</t>
  </si>
  <si>
    <t>More than one may be used. If the lab does not currently participate in AMR surveillance, select NA</t>
  </si>
  <si>
    <t>Plus d'un peut être utilisé. Si le laboratoire ne participe pas actuellement à la surveillance de la RAM, sélectionnez NA.</t>
  </si>
  <si>
    <t>Se puede usar más de uno. Si el laboratorio no participa actualmente en la vigilancia de RAM seleccione NA</t>
  </si>
  <si>
    <t>Mais de um pode ser utilizado. Se o laboratório não participa atualmente na vigilância  da RAM, selecione NA</t>
  </si>
  <si>
    <t>Lab sends paper forms to an AMR coordinator</t>
  </si>
  <si>
    <t>Le laboratoire envoie des formulaires papier à un coordinateur de la RAM</t>
  </si>
  <si>
    <t>El laboratorio envía formularios en papel a un coordinador de RAM</t>
  </si>
  <si>
    <t>O laboratório envia formulários de papel a um coordenador da RAM</t>
  </si>
  <si>
    <t>Lab types data into an Excel spreadsheet</t>
  </si>
  <si>
    <t>Le laboratoire saisit les données dans une feuille de calcul Excel</t>
  </si>
  <si>
    <t>El laboratorio introduce los datos en una hoja de cálculo de Excel</t>
  </si>
  <si>
    <t>O laboratório insere os dados em uma folha de cálculo do Excel</t>
  </si>
  <si>
    <t>Lab types data into an online database</t>
  </si>
  <si>
    <t>Le laboratoire saisit les données dans une base de données en ligne</t>
  </si>
  <si>
    <t>El laboratorio introduce los datos en una base de datos online</t>
  </si>
  <si>
    <t>O laboratório insere os dados em um banco de dados online</t>
  </si>
  <si>
    <t>Lab types data into WHONET</t>
  </si>
  <si>
    <t>Le laboratoire saisit les données dans WHONET</t>
  </si>
  <si>
    <t>El laboratorio introduce los datos en WHONET</t>
  </si>
  <si>
    <t>O laboratório insere os dados no WHONET</t>
  </si>
  <si>
    <t>Lab exports a file from the automated AST instrument</t>
  </si>
  <si>
    <t>Le laboratoire exporte un fichier à partir de l'automate de TSA</t>
  </si>
  <si>
    <t>El laboratorio exporta un archivo desde el instrumento automatizado de PSA</t>
  </si>
  <si>
    <t>O laboratório exporta um arquivo de dados a partir do instrumento automatizado de TSA</t>
  </si>
  <si>
    <t>Lab exports a file from the LIS</t>
  </si>
  <si>
    <t>Le laboratoire exporte un fichier à partir du SIL</t>
  </si>
  <si>
    <t>El laboratorio exporta un archivo desde el SIL</t>
  </si>
  <si>
    <t>O laboratório exporta um arquivo de dados a partir do SIL</t>
  </si>
  <si>
    <t>If the lab has ever tried to use BacLink to transfer data from the LIS into WHONET, were any of the following problems encountered?</t>
  </si>
  <si>
    <t>Si le laboratoire a déjà essayé d'utiliser BacLink pour transférer des données du LIS dans WHONET, l'un des problèmes suivants a-t-il été rencontré?</t>
  </si>
  <si>
    <t>Si el laboratorio alguna vez usó BacLink para transferir datos del SIL a WHONET, ¿se encontró alguno de los siguientes problemas?</t>
  </si>
  <si>
    <t>Se o laboratório já tentou alguma vez usar BacLink para transferir dados do SIL para o WHONET, algum dos seguintes problemas foram encontrados?</t>
  </si>
  <si>
    <t>The LIS export file was missing some of the required data fields</t>
  </si>
  <si>
    <t>Il manquait dans le fichier d'exportation SIL certains des champs de données obligatoires</t>
  </si>
  <si>
    <t>Al archivo exportado desde el SIL le faltaban algunos de los campos de datos requeridos</t>
  </si>
  <si>
    <t>O arquivo de exportação do SIL estava faltando alguns dos campos de dados necessários</t>
  </si>
  <si>
    <t xml:space="preserve">The LIS export file merged/combined different data fields into a single column </t>
  </si>
  <si>
    <t>Le fichier d'exportation SIL a fusionné / combiné différents champs de données dans une seule colonne</t>
  </si>
  <si>
    <t>El archivo exportado desde el SIL fusionó / ​​combinó diferentes campos de datos en una sola columna</t>
  </si>
  <si>
    <t xml:space="preserve">O arquivo de exportação do SIL mesclou/ combinou campos de dados diferentes em uma única coluna </t>
  </si>
  <si>
    <t>The LIS export file does not distinguish antibiotic results by AST method</t>
  </si>
  <si>
    <t>Le fichier d'exportation SIL reconnaît pas les résultats d'antibiotiques par la méthode TSA</t>
  </si>
  <si>
    <t>El archivo exportado desde el SIL no distingue los resultados de antibióticos de la PSA</t>
  </si>
  <si>
    <t>O arquivo de exportação do SIL não distingue resultados dos antibióticos por método de TSA</t>
  </si>
  <si>
    <t>The LIS export file does not contain zone sizes or MIC values</t>
  </si>
  <si>
    <t>Le fichier d'exportation SIL ne contient pas de les diamètres d'inhibition  ni la valeur de la CIM</t>
  </si>
  <si>
    <t>El archivo exportado desde el SIL no contiene los diámetros de los halos de inhibición o valores de CMI</t>
  </si>
  <si>
    <t>O arquivo de exportação do SIL não contém os diâmetros dos halos de inibição ou  valores do MIC</t>
  </si>
  <si>
    <t>If the lab has ever tried to use BacLink to transfer data from the automated AST instrument into WHONET, were any of the following problems encountered?</t>
  </si>
  <si>
    <t>Si le laboratoire a déjà essayé d'utiliser BacLink pour transférer de l'automate de TSA vers WHONET, l'un des problèmes suivants a-t-il été rencontré?</t>
  </si>
  <si>
    <t>Si el laboratorio alguna vez usó BacLink para transferir datos del instrumento automatizado de PSA a WHONET, ¿se encontró alguno de los siguientes problemas?</t>
  </si>
  <si>
    <t>Se o laboratório já tentou alguma vez usar BacLink para transferir dados a partir do instrumento automatizado de TSA para WHONET, algum dos seguintes problemas foram encontrados?</t>
  </si>
  <si>
    <t>The instrument export file was missing some of the required data fields (like patient demographics)</t>
  </si>
  <si>
    <t>Il manquait dans le fichier d'exportation de l'automate certains des champs de données obligatoires (comme les données démographiques du patient).</t>
  </si>
  <si>
    <t>Al archivo exportado del instrumento le faltaban algunos de los campos de datos requeridos (como datos demográficos del paciente)</t>
  </si>
  <si>
    <t>O arquivo exportado pelo instrumento estava faltando alguns dos campos de dados necessários (como dados demográficos do paciente)</t>
  </si>
  <si>
    <t xml:space="preserve">The instrument export file merged/combined different data fields into a single column </t>
  </si>
  <si>
    <t>Le fichier d'exportation de l'automate a fusionné / combiné différents champs de données dans une seule colonne</t>
  </si>
  <si>
    <t>El archivo exportado del instrumento fusionó / ​​combinó diferentes campos de datos en una sola columna</t>
  </si>
  <si>
    <t xml:space="preserve">O arquivo exportado do instrumento mesclou/combinou campos de dados diferentes em uma única coluna </t>
  </si>
  <si>
    <t>The instrument export file was missing MIC values</t>
  </si>
  <si>
    <t>Les valeurs de la CIM manquaient dans le fichier d'exportation de l'automate</t>
  </si>
  <si>
    <t>Al archivo exportado del instrumento le faltaban valores de CMI</t>
  </si>
  <si>
    <t>O arquivo exportado pelo instrumento foi faltando valores de MIC</t>
  </si>
  <si>
    <t>The instrument export file was missing SIR values</t>
  </si>
  <si>
    <t>Les valeurs SIR manquaient dans le fichier d'exportation de l'automate</t>
  </si>
  <si>
    <t>Al archivo exportado del instrumento le faltaban valores S-I-R</t>
  </si>
  <si>
    <t>O arquivo exportado pelo instrumento foi faltando valores de S-I-R</t>
  </si>
  <si>
    <t>4- GARANTIA DA QUALIDADE</t>
  </si>
  <si>
    <t>STRUCTURE / BASE DU SMQ</t>
  </si>
  <si>
    <t>ESTRUCTURA DE CALIDAD / BÁSICOS</t>
  </si>
  <si>
    <t>ESTRUTURA DE QUALIDADE / BÁSICOS</t>
  </si>
  <si>
    <t>Is there a Quality Manual in place that conforms to ISO standards? (15189, 17025 or 9001)?</t>
  </si>
  <si>
    <t>Existe-t-il un manuel qualité conforme aux normes ISO? (15189, 17025 ou 9001)?</t>
  </si>
  <si>
    <t>¿Existe un manual de calidad que cumpla con los estándares ISO? (15189, 17025 o 9001)?</t>
  </si>
  <si>
    <t>Existe um Manual de Qualidade que esteja em conformidade com as normas ISO? (15189, 17025 ou 9001)?</t>
  </si>
  <si>
    <t>Does the lab have a formally designated Quality Officer or Manager?</t>
  </si>
  <si>
    <t>Le laboratoire a-t-il un responsable qualité officiellement désigné?</t>
  </si>
  <si>
    <t>¿El laboratorio tiene un encargado de calidad nombrado oficialmente?</t>
  </si>
  <si>
    <t>O laboratório designou formalmente um Responsável ou Gerente da Qualidade?</t>
  </si>
  <si>
    <t>Is there a Quality Focal Point in bacteriology, in charge of collaboration with quality manager?</t>
  </si>
  <si>
    <t>Existe-t-il un point focal qualité en bactériologie, en charge de la collaboration avec le responsable qualité?</t>
  </si>
  <si>
    <t>¿Hay un Punto Focal de Calidad en bacteriología, colaborando con el Encargado de Calidad?</t>
  </si>
  <si>
    <t>Existe um Ponto Focal da Qualidade em bacteriologia, colaborando com o  Gerente da Qualidade?</t>
  </si>
  <si>
    <t>Is there documentation showing that the Quality Officers and Focal Points have received appropriate training in Quality Management Systems (QMS)?</t>
  </si>
  <si>
    <t>Existe-t-il une documentation montrant que les responsables de la qualité et les points focaux ont reçu une formation appropriée sur les systèmes de gestion de la qualité (SGQ)?</t>
  </si>
  <si>
    <t>¿Hay documentación que demuestre que los Encargados de Calidad y los Puntos Focales han recibido la formación adecuada en Sistemas de Gestión de Calidad (SGC)?</t>
  </si>
  <si>
    <t>Existe documentação demonstrando que os Responsáveis da Qualidade e os Pontos Focais tem recebido formação adequada em Sistemas de Gestão da Qualidade (SGQ)?</t>
  </si>
  <si>
    <t>1: Yes - 2: Some, but would like additional training - 3: No training documented</t>
  </si>
  <si>
    <t>1: Oui - 2: Certains, mais voudraient une formation supplémentaire - 3: Aucune formation documentée</t>
  </si>
  <si>
    <t>1: Sí - 2: Algunos, pero quisiera formación adicional - 3: Ninguna formación documentada</t>
  </si>
  <si>
    <t>1: Sim - 2: Alguns, mas gostariam de  treinamento adicional - 3: Nenhum treinamento documentado</t>
  </si>
  <si>
    <t>How often does a Supervisor or Quality Officer review Media QC, ID QC, and AST QC results?</t>
  </si>
  <si>
    <t>À quelle fréquence un superviseur ou un responsable de la qualité examine-t-il les résultats des CQ  des milieux, de l'identification et TSA?</t>
  </si>
  <si>
    <t>¿Con qué frecuencia un Supervisor o Encargado de Calidad revisa los resultados de Control de Calidad de Medios, de Identificación y de PSA?</t>
  </si>
  <si>
    <t xml:space="preserve">Com que frequência um Supervisor ou Responsável da Qualidade revisa os resultados de CQ dos meios, identificação e TSA? </t>
  </si>
  <si>
    <t>1: Weekly  – 2: Monthly  – 3: Sporadically – 4: Never</t>
  </si>
  <si>
    <t>1: hebdomadaire - 2: mensuelle - 3: sporadiquement - 4: jamais</t>
  </si>
  <si>
    <t>1: semanal - 2: mensual - 3: esporádicamente - 4: nunca</t>
  </si>
  <si>
    <t>1:Semanal - 2: Mensal - 3: Esporadicamente - 4: Nunca</t>
  </si>
  <si>
    <t>Is there evidence that QC review is performed at the stated frequency?</t>
  </si>
  <si>
    <t>Existe-t-il des preuves que le contrôle de la qualité est effectué à la fréquence indiquée?</t>
  </si>
  <si>
    <t>¿Hay evidencia de que la revisión de CC se realiza con la frecuencia establecida?</t>
  </si>
  <si>
    <t>Existe evidência de que a revisão de QC é realizada com a frequência estabelecida?</t>
  </si>
  <si>
    <t>1: Yes, for all QC results - 2: Yes, but only for some QC results - 3: No</t>
  </si>
  <si>
    <t>1: Oui, pour tous les résultats de CQ - 2: Oui, mais seulement pour certains résultats de CQ - 3: Non</t>
  </si>
  <si>
    <t>1: Sí, para todos los resultados de CC - 2: Sí, pero solo para algunos resultados de CC - 3: No</t>
  </si>
  <si>
    <t>1: Sim, para todos os resultados de CQ - 2: Sim, mas apenas para alguns resultados de CQ - 3: Não</t>
  </si>
  <si>
    <t xml:space="preserve">Is there documentation showing that the Supervisor/Quality Officer received training on how to effectively troubleshoot QC failures? </t>
  </si>
  <si>
    <t>Existe-t-il des documents montrant que le superviseur / responsable de la qualité a reçu une formation sur la manière de résoudre efficacement les problèmes de CQ?</t>
  </si>
  <si>
    <t>¿Existe documentación que demuestre que el Supervisor / Encargado de Calidad recibió formación sobre cómo solucionar eficazmente los fallos en el CC?</t>
  </si>
  <si>
    <t xml:space="preserve">Existe documentação demostrando que o Supervisor/ Responsável da Qualidade receberam treinamento sobre como solucionar efetivamente as falhas de CQ? </t>
  </si>
  <si>
    <t>1: Sim - 2: Alguns, mas gostariam de treinamento adicional - 3: Nenhum treinamento documentado</t>
  </si>
  <si>
    <t>Does a Supervisor or qualified designee review positive culture results every day?</t>
  </si>
  <si>
    <t>Un superviseur ou un représentant qualifié examine-t-il chaque jour les résultats de culture positifs?</t>
  </si>
  <si>
    <t>¿Revisa un Supervisor o persona designada los resultados positivos de los cultivos todos los días?</t>
  </si>
  <si>
    <t>Um supervisor ou pessoa designada revisa os resultados positivos de cultura todos os dias?</t>
  </si>
  <si>
    <t>Are there written guidelines stating who is permitted to modify erroneous lab results after they have been reported?</t>
  </si>
  <si>
    <t>Existe-t-il des directives écrites indiquant qui est autorisé à modifier les résultats de laboratoire incorrects une fois qu'ils ont été rapportés?</t>
  </si>
  <si>
    <t>¿Existen pautas escritas que indiquen quién está autorizado a modificar resultados de laboratorio erróneos después de que se hayan notificado?</t>
  </si>
  <si>
    <t>Existem diretrizes escritas que indiquem quem está autorizado a  modificar resultados errôneos do laboratório depois de terem sido relatados?</t>
  </si>
  <si>
    <t>Who is permitted to modify erroneous lab results?</t>
  </si>
  <si>
    <t>Qui est autorisé à modifier des résultats de laboratoire incorrects?</t>
  </si>
  <si>
    <t>¿A quién se le permite modificar resultados de laboratorio erróneos?</t>
  </si>
  <si>
    <t>Quem está autorizado a modificar os resultados errôneos do laboratório?</t>
  </si>
  <si>
    <t>1: Supervisors and/or persons with supervisory permission - 2: All microbiologists</t>
  </si>
  <si>
    <t>1: Superviseurs et / ou personnes avec autorisation de supervision - 2: Tous les microbiologistes</t>
  </si>
  <si>
    <t>1: Supervisores y / o personas con permiso de supervisión - 2: Todos los microbiólogos</t>
  </si>
  <si>
    <t>1: Supervisores e/ou pessoas com permissão de supervisão - 2: Todos os microbiologistas</t>
  </si>
  <si>
    <t>When corrections to patient results are made, what is done with the erroneous result?</t>
  </si>
  <si>
    <t>Lorsque des corrections sont apportées aux résultats du patient, que fait-on du résultat incorrect?</t>
  </si>
  <si>
    <t>Cuando se realizan correcciones a los resultados de un paciente, ¿qué se hace con el resultado erróneo?</t>
  </si>
  <si>
    <t>Quando são feitas correções nos resultados dos pacientes, o que é feito com o resultado errôneo?</t>
  </si>
  <si>
    <t>1: Erroneous results remain in place but are amended to reflect that they are erroneous - 2: Erroneous results are deleted from the record - 3: Other(explain in comments)</t>
  </si>
  <si>
    <t>1: Les résultats incorrectes restent consutables mais sont modifiés pour indiquer qu'ils sont incorrects - 2: Les résultats incorrects sont supprimés du dossier - 3: Autres (expliquer dans les commentaires)</t>
  </si>
  <si>
    <t>1: los resultados erróneos se mantienen  en su lugar pero se modifican para reflejar que son erróneos - 2: los resultados erróneos se eliminan del registro - 3: otros (explique en los comentarios)</t>
  </si>
  <si>
    <t>1: Os resultados errados permanecem no local, mas são alterados para refletir que eles estão errados - 2: Resultados errados são excluídos do registro - 3: Outro (explicar nos comentários)</t>
  </si>
  <si>
    <t>EDUCACIÓN / FORMACIÓN / COMPETENCIAS DEL PERSONAL DEL LABORATORIO</t>
  </si>
  <si>
    <t xml:space="preserve">EDUCAÇÃO /TREINAMENTO / COMPETÊNCIAS DO PESSOAL DO LABORATÓRIO </t>
  </si>
  <si>
    <t>Does at least 50% of the technical staff possess formal education in microbiology or medical laboratory science? (Refer to the figure in column D)</t>
  </si>
  <si>
    <t>Est-ce qu'au moins 50% du personnel technique possède une formation théorique en microbiologie ou en médecine de laboratoire? (Voir le nombre dans la colonne D)</t>
  </si>
  <si>
    <t>¿Tiene al menos el 50% del personal técnico educación oficial en microbiología o análisis clínicos? (Consulte la figura en la columna D)</t>
  </si>
  <si>
    <t>Pelo menos 50% da equipe técnica possui educação formal em microbiologia ou análises clínicas? (Consulte a  figura na coluna D)</t>
  </si>
  <si>
    <t>Is the lab sufficiently staffed to provide high quality services? (Including support staff)</t>
  </si>
  <si>
    <t>Le laboratoire dispose-t-il d'un personnel suffisant pour fournir des services de haute qualité? (Y compris le personnel de soutien.)</t>
  </si>
  <si>
    <t>¿Cuenta el laboratorio con suficiente personal para proporcionar servicios de alta calidad? (Incluyendo personal de apoyo).</t>
  </si>
  <si>
    <t>O laboratório conta com pessoal em número suficiente para fornecer serviços de alta qualidade? (Incluindo pessoal de apoio.)</t>
  </si>
  <si>
    <t>Does the lab have a standardized process for training new employees?</t>
  </si>
  <si>
    <t>Le laboratoire dispose-t-il d'un processus normalisé pour la formation de nouveaux employés?</t>
  </si>
  <si>
    <t>¿Tiene el laboratorio un proceso estandarizado para formar a nuevos empleados?</t>
  </si>
  <si>
    <t>O laboratório tem um processo padronizado para treinamento de novos funcionários?</t>
  </si>
  <si>
    <t>Does the lab have up-to-date documentation showing which benches &amp; tests each staff member has been trained on and approved to work independently? (Review such records)</t>
  </si>
  <si>
    <t>Le laboratoire dispose-t-il d'une documentation à jour indiquant les paillasses et analyses auxquels chaque membre du personnel a été formé et autorisé à travailler de manière indépendante? (Examiner ces enregistrements)</t>
  </si>
  <si>
    <t>¿Tiene el laboratorio documentación actualizada que muestre en qué poyatas y en qué tipo de pruebas se formó y aprobó a cada miembro del personal para trabajar de manera independiente? (Revise dichos registros)</t>
  </si>
  <si>
    <t>O laboratório tem uma documentação atualizada que demonstre em que bancadas e que tipo de testes cada membro da equipe foi treinado e aprovado para trabalhar de forma independente? (Revisar os registros)</t>
  </si>
  <si>
    <t>Do records demonstrate that lab staff receive annual competency assessments for each of the following? (Review competency records, select NA if not on lab's test menu)</t>
  </si>
  <si>
    <t>Les enregistrements démontrent-ils que le personnel de laboratoire reçoit des évaluations annuelles des compétences pour chacun des éléments suivants? (Consultez les enregistrements de compétences, sélectionnez NA si ce n’est pas dans le catalogue des analyses du laboratoire)</t>
  </si>
  <si>
    <t>¿Muestran los registros que el personal del laboratorio recibe evaluaciones de competencia anuales para cada uno de las siguientes pruebas? (Revise los registros de competencia, seleccione NA si no está en el listado de pruebas de laboratorio)</t>
  </si>
  <si>
    <t>Os registros demonstram que o pessoal de laboratório recebe avaliações anuais de competência para cada um dos seguintes testes? (Revisar os registros de competência, selecione NA se não está na lista de testes do laboratório)</t>
  </si>
  <si>
    <t>Blood culture</t>
  </si>
  <si>
    <t>Hemoculture</t>
  </si>
  <si>
    <t>Hemocultivo</t>
  </si>
  <si>
    <t>Urine culture</t>
  </si>
  <si>
    <t>Examen cytobactériologique des urines</t>
  </si>
  <si>
    <t>Urocultivo</t>
  </si>
  <si>
    <t>Stool culture</t>
  </si>
  <si>
    <t>Coproculture</t>
  </si>
  <si>
    <t>Respiratory culture (non-TB)</t>
  </si>
  <si>
    <t>Culture respiratoire (non tuberculeuse)</t>
  </si>
  <si>
    <t>Cultivo respiratorio (no TB)</t>
  </si>
  <si>
    <t>Culturas Respiratórias (não TB)</t>
  </si>
  <si>
    <t>Wound culture</t>
  </si>
  <si>
    <t>Culture des prélèvement de plaies</t>
  </si>
  <si>
    <t>Cultivo de heridas</t>
  </si>
  <si>
    <t>Culturas de Feridas</t>
  </si>
  <si>
    <t>Culturas de Liquido Cefalorraquidiano</t>
  </si>
  <si>
    <t>Culturas de Líquidos Corporais Estéreis</t>
  </si>
  <si>
    <t>Testes de Sensibilidade a Antibióticos</t>
  </si>
  <si>
    <t>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t>
  </si>
  <si>
    <t>Norme: le personnel de laboratoire nouvellement embauché doit être évalué pour ses compétences avant de pouvoir effectuer des tâches indépendantes et à nouveau dans un délai de six mois. Tout le personnel de laboratoire doit être évalué régulièrement pour le test de compétence au moins une fois par an. Le personnel affecté à une nouvelle section devrait être évalué avant d'assumer pleinement ses fonctions indépendantes. Lorsque des lacunes sont constatées, le recyclage et la réévaluation doivent être planifiés et documentés. Si les compétences de l’employé restent en deçà des normes, les actions supplémentaires peuvent inclure une révision du travail par le superviseur, la réaffectation de tâches ou toute autre action appropriée. Les enregistrements des évaluations de compétences et des actions qui en résultent doivent être conservés dans les dossiers du personnel et / ou les enregistrements qualité. Les enregistrements doivent indiquer quelles compétences ont été évaluées, comment ces compétences ont été mesurées et par qui l'évaluation a été effectuée.</t>
  </si>
  <si>
    <t>Estándar: se debe evaluar la competencia del personal de laboratorio recién contratado antes de trabajar de manera independiente y nuevamente a los seis meses. Todo el personal del laboratorio debe ser evaluado regularmente para evaluar su competencia al menos una vez al año. El personal asignado a una nueva sección debe ser evaluado antes de asumir funciones en las que vaya a trabajar de manera independiente. Cuando se observen deficiencias, el reciclaje y la reevaluación deben planificarse y documentarse. Si la competencia del empleado permanece por debajo del estándar, una acción adicional debería incluir la supervisión ​​del trabajo, la reasignación de funciones u otras acciones apropiadas. Los registros de las evaluaciones de competencia y las acciones resultantes deben conservarse en archivos de personal y / o registros de calidad. Los registros deben mostrar qué habilidades se evaluaron, cómo se midieron esas habilidades y quién realizó la evaluación.</t>
  </si>
  <si>
    <t>Norma: deve-se avaliar a competência do pessoal de laboratório recém-contratado antes de executar tarefas independentes e novamente em seis meses. Todo o pessoal de laboratório deve ser avaliado periodicamente para testes de competência, pelo menos uma vez por ano. Pessoal designado para uma nova seção deve ser avaliado antes de trabalhar de forma independente. Quando deficiências são observadas, uma reciclagem e uma reavaliação devem ser planejadas e documentadas. Se a competência do funcionário permanece abaixo do padrão, novas medidas podem incluir  supervisão do trabalho, re-atribuição de funções, ou outras ações adequadas. Os registros das avaliações de competências e ações resultantes devem ser mantidos em arquivos de pessoal e/ou registos de qualidade. Os registros devem mostrar quais habilidades foram avaliadas, como essas habilidades foram medidas, e quem realizou a avaliação.</t>
  </si>
  <si>
    <t>ANALYSE DES PANNES, RÉSOLUTION DE PROBLÈMES ET DES CAUSES PROFONDES</t>
  </si>
  <si>
    <t>SOLUÇÃO DE PROBLEMAS E ANÁLISE DE CAUSA-RAÍZ</t>
  </si>
  <si>
    <t>Is a root cause analysis performed when unacceptable QC results are obtained? (Request to see a recent example)</t>
  </si>
  <si>
    <t>Une analyse des causes profondes est-elle effectuée lorsque des résultats de CQ inacceptables sont obtenus? (Demandez de voir un exemple récent)</t>
  </si>
  <si>
    <t>¿Se realiza un análisis de causa-raíz cuando se obtienen resultados de CC inaceptables? (Solicitar ver un ejemplo reciente)</t>
  </si>
  <si>
    <t>A análise de causa raiz é executada quando são obtidos resultados inaceitáveis de CQ ? (Solicite ver um exemplo recente)</t>
  </si>
  <si>
    <t>Is corrective action based on the findings of the root cause analysis documented?</t>
  </si>
  <si>
    <t>Les actions correctives basées sur les résultats de l'analyse des causes profondes est-elle documentée?</t>
  </si>
  <si>
    <t>¿Está documentada la acción correctiva basada en los hallazgos del análisis de causa-raíz?</t>
  </si>
  <si>
    <t>Uma ação corretiva está documentada com base nas conclusões da análise da causa-raiz?</t>
  </si>
  <si>
    <t>Is there evidence the supervisor or Quality Officer has received adequate training on how to perform root-cause analysis of QC failures?</t>
  </si>
  <si>
    <t>Existe-t-il des preuves que le superviseur ou le responsable de la qualité a reçu une formation adéquate sur la manière d'effectuer une analyse des causes profondes des échecs de CQ?</t>
  </si>
  <si>
    <t>¿Hay evidencia de que el Supervisor o el Encargado de Calidad ha recibido la formación adecuada sobre cómo realizar un análisis de causa-raíz de fallos en el CC?</t>
  </si>
  <si>
    <t>Existe evidência que o Supervisor ou Responsável pela Qualidade tenha recebido formação adequada sobre como realizar análise de causa raiz de falhas do CQ?</t>
  </si>
  <si>
    <t>1: Yes - 2: Some, but would like additional training - 3: No</t>
  </si>
  <si>
    <t>1: Oui - 2: Certains, mais voudraient une formation supplémentaire - 3: Non</t>
  </si>
  <si>
    <t>1: Sí - 2: Algunos, pero quisiera formación adicional - 3: No</t>
  </si>
  <si>
    <t>1: Sim - 2: Alguns, mas gostariam de  treinamento adicional - 3: Não</t>
  </si>
  <si>
    <t>Are patient results reported if QC of media, ID method, or AST method was not performed?</t>
  </si>
  <si>
    <t>Les résultats des patients sont-ils rapportés si le CQ du milieux la méthode d'identification ou la méthode TSA n'a pas été effectué?</t>
  </si>
  <si>
    <t>¿Se notifican los resultados de los pacientes si no se realizó el CC de los medios, del método de identificación o del método PSA?</t>
  </si>
  <si>
    <t xml:space="preserve">Os resultados dos pacientes são relatados em caso de não realização de CQ  dos meios, do método de identificação e do método de TSA? </t>
  </si>
  <si>
    <t>Are patient results reported if QC of media, ID method, or AST method failed to produce acceptable results?</t>
  </si>
  <si>
    <t>Les résultats des patients sont-ils rapportés si le CQ du millieux, la méthode identification ou la méthode TSA ne permet pas d'obtenir des résultats acceptables?</t>
  </si>
  <si>
    <t>¿Se notifican los resultados de los pacientes si el CC de los medios, del método de identificación o del método PSA no dieron resultados aceptables?</t>
  </si>
  <si>
    <t>Os resultados dos pacientes são relatados em caso dos CQ  dos meios, do método de identificação e do método de TSA não tiverem resultados aceitáveis?</t>
  </si>
  <si>
    <t>Is there evidence that the lab troubleshoots unacceptable QC results for media, reagents, ID systems and AST methods?</t>
  </si>
  <si>
    <t>Existe-t-il des preuves que le laboratoire résoud les problèmes engendrant des résultats de CQ inacceptables pour les milieux, les réactifs, les systèmes d'identification et les méthodes TSA?</t>
  </si>
  <si>
    <t>¿Hay evidencia de que el laboratorio resuelve los resultados inaceptables del CC para medios, reactivos, sistemas de identificación y métodos PSA?</t>
  </si>
  <si>
    <t>Existe evidência de que o laboratório resolve os resultados de CQ inaceitáveis ​​de meios, reagentes, sistemas de identificação e métodos de TSA?</t>
  </si>
  <si>
    <t xml:space="preserve">If automated instruments are used for ID, (e.g., Vitek, Phoenix, Microscan) is there user manual or SOP that describes how to troubleshoot instrument failures? </t>
  </si>
  <si>
    <t>Si des automates sont utilisés pour l'identification (par exemple, Vitek, Phoenix, Microscan), existe-t-il un manuel d'utilisation ou une PON décrivant comment résoudre les pannes de l'instrument?</t>
  </si>
  <si>
    <t>Si se utilizan instrumentos automatizados para la identificación (Ej., Vitek, Phoenix, Microscan), ¿hay algún manual de usuario o POE que describa cómo solucionar los problemas del instrumento?</t>
  </si>
  <si>
    <t xml:space="preserve">Caso instrumentos automatizados sejam utilizados ​​para ID, (Ex., Vitek, Phoenix, Microscan) existe manual ou POP que descreve como solucionar falhas de instrumento? </t>
  </si>
  <si>
    <t>Check NA if lab does not use automated instrument</t>
  </si>
  <si>
    <t>Cochez NA si le laboratoire n'utilise pas d'instrument automatisé</t>
  </si>
  <si>
    <t>Marque NA si el laboratorio no usa un instrumento automatizado</t>
  </si>
  <si>
    <t>Marque NA se laboratório não usa instrumento automatizado</t>
  </si>
  <si>
    <t>EVALUACIÓN DE CALIDAD EXTERNA (EQA)</t>
  </si>
  <si>
    <t xml:space="preserve">How many times per year does the lab currently receive EQA/PT challenges that include both bacterial identification &amp; AST? (Please do not include challenges designed to focus on a single organism, e.g., TB or N. gonorrhoeae) </t>
  </si>
  <si>
    <t>Combien de fois par an le laboratoire reçoit-il des tests d'EEQ / Tests de panel incluant à la fois l'identification bactérienne et le TSA? (Veuillez ne pas inclure les tests conçus pour un seul organisme, par exemple, la tuberculose ou N.gonorrhoeae)</t>
  </si>
  <si>
    <t>¿Cuántas veces al año recibe actualmente el laboratorio un EQA / PT (Proficiency Testing) que incluyan tanto la identificación bacteriana como PSA? (No incluya aquellos EQA / PT enfocados en un solo organismo, por ejemplo, TB o N.gonorrhoeae)</t>
  </si>
  <si>
    <t>Quantas vezes por ano o laboratório recebe atualmente  painéis AEQ/TP  que incluem tanto a identificação de bactérias como TSA? (Por favor, não incluir AEQ/PT focados um único organismo, Ex. TB ou N. gonorrhoeae)</t>
  </si>
  <si>
    <t>1: One time per year; 2: Two times per year; 3: Three times per year or more; 4: Zero (if zero, please answer the next question, then skip to next section)</t>
  </si>
  <si>
    <t>1: une fois par an; 2: deux fois par an; 3: trois fois par an ou plus; 4: zéro (si zéro, répondez à la question suivante, passez à la section suivante)</t>
  </si>
  <si>
    <t>1: una vez al año; 2: dos veces al año; 3: tres veces al año o más; 4: Cero (si es cero, responda la siguiente pregunta, luego pase a la siguiente sección)</t>
  </si>
  <si>
    <t>1: Uma vez por ano; 2: Duas vezes por ano; 3: Três vezes por ano ou mais; 4: Zero (se zero, por favor responda a pergunta seguinte, e depois passe para a próxima seção)</t>
  </si>
  <si>
    <t>If the lab does not participate in an EQA program, what is the reason? (Informational, not scored)</t>
  </si>
  <si>
    <t>Si le laboratoire ne participe pas à un programme de EEQ, quelle en est la raison? (Informatif, ne sera pas noté)</t>
  </si>
  <si>
    <t>Si el laboratorio no participa en un programa EQA, ¿cuál es el motivo? (Informativo, no se puntua)</t>
  </si>
  <si>
    <t>Se o laboratório não participa de um programa de AEQ, qual é a razão? (Informativa, não se pontua)</t>
  </si>
  <si>
    <t>Is the EQA/PT provider ISO-17043 accredited?</t>
  </si>
  <si>
    <t>Le fournisseur d'EEQ / TP est-il accrédité ISO-17043?</t>
  </si>
  <si>
    <t>¿Está  el proveedor de EQA /PT acreditado con ISO-17043?</t>
  </si>
  <si>
    <t>O fornecedor de AEQ/PT  é acreditado com ISO-17043?</t>
  </si>
  <si>
    <t>Please list provider in comments</t>
  </si>
  <si>
    <t>Veuillez lister les fournisseurs dans les commentaires</t>
  </si>
  <si>
    <t>Enumere los proveedores en los comentarios.</t>
  </si>
  <si>
    <t>Por favor, liste os provedores nos comentários.</t>
  </si>
  <si>
    <t>Are the test methods used on EQA isolates the same as the test methods used for routine patient isolates?</t>
  </si>
  <si>
    <t>Les méthodes d'analyse utilisées sur les isolats d'EEQ sont-elles les mêmes que celles utilisées pour les isolats de patients de routine?</t>
  </si>
  <si>
    <t>¿Se utilizan las mismas pruebas en los aislados de los EQA y en los aislados de rutina de muestras de pacientes?</t>
  </si>
  <si>
    <t>Os métodos utilizados para os isolados da AEQ são os mesmos utilizados para os isolados da rotina de amostras de pacientes?</t>
  </si>
  <si>
    <t>Does the lab ever perform additional testing on an EQA isolate compared to what would be performed on a typical patient isolate?</t>
  </si>
  <si>
    <t>Le laboratoire effectue-t-il des analyses supplémentaires sur les isolats d'EEQ par rapport à ce qui serait réalisé sur un isolat typique de patient?</t>
  </si>
  <si>
    <t>¿Realiza alguna vez el laboratorio pruebas adicionales en un aislado de EQA en comparación con lo que se realizaría normalmente en un aislado de paciente?</t>
  </si>
  <si>
    <t xml:space="preserve">O laboratório realiza testes adicionais em um isolado da AEQ comparado ao que seria realizado em um isolado de paciente? </t>
  </si>
  <si>
    <t>Does the lab ever send EQA isolates to another lab for confirmation before submitting results?</t>
  </si>
  <si>
    <t>Le laboratoire envoie-t-il des isolats d'EEQ à un autre laboratoire pour confirmation avant de soumettre les résultats?</t>
  </si>
  <si>
    <t>¿Alguna vez el laboratorio envía aislados de EQA a otro laboratorio para su confirmación antes de enviar los resultados?</t>
  </si>
  <si>
    <t>O laboratório envia isolados da AEQ para outro laboratório para confirmação antes de enviar os resultados?</t>
  </si>
  <si>
    <t>Does the lab ever call another lab to ask what their EQA result was before submitting results?</t>
  </si>
  <si>
    <t>Le laboratoire a-t-il déjà appelé un autre laboratoire pour demander quel était le résultat de leur d'EEQ avant de le soumettre?</t>
  </si>
  <si>
    <t>¿Alguna vez el laboratorio llama a otro laboratorio para preguntar cuál fue su resultado de EQA antes de enviar los resultados?</t>
  </si>
  <si>
    <t>O laboratório liga para outro laboratório para perguntar qual seu resultado da AEQ antes de enviar os resultados?</t>
  </si>
  <si>
    <t>Are PT/EQA specimens tested by the same staff performing patient testing? (Look for evidence that all staff participate in the challenges, not only supervisors or senior staff)</t>
  </si>
  <si>
    <t>Les échantillons de TP / EEQ sont-ils testés par le même personnel effectuant l'analyse des patients? (Cherchez des preuves que tout le personnel participe aux tests pas seulement les superviseurs ou les cadres supérieurs)</t>
  </si>
  <si>
    <t>¿Se prueban las muestras de PT / EQA por el mismo personal que realiza pruebas con muestras de pacientes? (Busque evidencia de que todo el personal participa en los PT / EQA, no solo los supervisores o el personal senior)</t>
  </si>
  <si>
    <t>As amostras da AEQ/TP são testadas pela mesma equipe que realiza os testes dos paciente? (Busque evidência de  que todo o pessoal participa da AEQ/TP, não somente supervisores ou funcionários experientes)</t>
  </si>
  <si>
    <t xml:space="preserve">On average, how long does the lab have to wait before receiving the results of their PT/EQA performance? </t>
  </si>
  <si>
    <t>En moyenne, combien de temps le laboratoire doit-il attendre avant de recevoir les résultats de ses performances de TP / EEQ?</t>
  </si>
  <si>
    <t>En promedio, ¿cuánto tiempo tiene que esperar el laboratorio antes de recibir los resultados de su desempeño en el PT / EQA?</t>
  </si>
  <si>
    <t xml:space="preserve">Em média, quanto tempo o laboratório tem que esperar para receber os resultados de seu desempenho na AEQ/TP? </t>
  </si>
  <si>
    <t>1: Less than 2 months; 2: 2 – 6 months; 3: More than 6 months; NA: no EQA</t>
  </si>
  <si>
    <t>1: moins de 2 mois; 2: 2 à 6 mois; 3: plus de 6 mois; NA: pas d'EEQ</t>
  </si>
  <si>
    <t>1: menos de 2 meses; 2: 2 - 6 meses; 3: más de 6 meses; NA: sin EQA</t>
  </si>
  <si>
    <t>1: Menos de 2 meses; 2: 2 - 6 meses; 3: Mais de 6 meses; NA: não tem AEQ</t>
  </si>
  <si>
    <r>
      <t xml:space="preserve">Review the 3 most recent EQA challenges for organism identification. On how many did the lab score </t>
    </r>
    <r>
      <rPr>
        <u/>
        <sz val="10"/>
        <color theme="1"/>
        <rFont val="Calibri"/>
        <family val="2"/>
        <scheme val="minor"/>
      </rPr>
      <t>&gt;</t>
    </r>
    <r>
      <rPr>
        <sz val="10"/>
        <color theme="1"/>
        <rFont val="Calibri"/>
        <family val="2"/>
        <scheme val="minor"/>
      </rPr>
      <t xml:space="preserve">80%? </t>
    </r>
  </si>
  <si>
    <r>
      <t xml:space="preserve">Passez en revue les 3 derniers rapports d'EEQ  pour l'identification des organismes. Sur combien le score de laboratoire était-il </t>
    </r>
    <r>
      <rPr>
        <u/>
        <sz val="10"/>
        <color theme="1"/>
        <rFont val="Calibri"/>
        <family val="2"/>
        <scheme val="minor"/>
      </rPr>
      <t>&gt;</t>
    </r>
    <r>
      <rPr>
        <sz val="10"/>
        <color theme="1"/>
        <rFont val="Calibri"/>
        <family val="2"/>
        <scheme val="minor"/>
      </rPr>
      <t>80%?</t>
    </r>
  </si>
  <si>
    <r>
      <t xml:space="preserve">Revise las 3 pruebas de EQA más recientes para la identificación de organismos. ¿En cuántas obtuvo el laboratorio una puntuación </t>
    </r>
    <r>
      <rPr>
        <u/>
        <sz val="10"/>
        <color rgb="FF000000"/>
        <rFont val="Calibri"/>
        <family val="2"/>
        <scheme val="minor"/>
      </rPr>
      <t>&gt;</t>
    </r>
    <r>
      <rPr>
        <sz val="10"/>
        <color rgb="FF000000"/>
        <rFont val="Calibri"/>
        <family val="2"/>
        <scheme val="minor"/>
      </rPr>
      <t>80%?</t>
    </r>
  </si>
  <si>
    <r>
      <t xml:space="preserve">Reveja os 3 painéis  mais recentes da AEQ para a identificação de organismos. Em quantos o laboratório obteve uma pontuação </t>
    </r>
    <r>
      <rPr>
        <u/>
        <sz val="10"/>
        <color theme="1"/>
        <rFont val="Calibri"/>
        <family val="2"/>
        <scheme val="minor"/>
      </rPr>
      <t>&gt;</t>
    </r>
    <r>
      <rPr>
        <sz val="10"/>
        <color theme="1"/>
        <rFont val="Calibri"/>
        <family val="2"/>
        <scheme val="minor"/>
      </rPr>
      <t>80%?</t>
    </r>
  </si>
  <si>
    <t>If scores are not made available to review, select "None"</t>
  </si>
  <si>
    <t>Si les rapports ne sont pas disponibles et consultables, sélectionnez "Aucun".</t>
  </si>
  <si>
    <t>Si las puntuaciones no están disponibles para revisión, seleccione "Ninguno"</t>
  </si>
  <si>
    <t>Se as notas não estão disponíveis para a análise, selecione "Nenhuma"</t>
  </si>
  <si>
    <r>
      <t xml:space="preserve">Review the 3 most recent EQA challenges for AST. On how many did the lab score </t>
    </r>
    <r>
      <rPr>
        <u/>
        <sz val="10"/>
        <color theme="1"/>
        <rFont val="Calibri"/>
        <family val="2"/>
        <scheme val="minor"/>
      </rPr>
      <t>&gt;</t>
    </r>
    <r>
      <rPr>
        <sz val="10"/>
        <color theme="1"/>
        <rFont val="Calibri"/>
        <family val="2"/>
        <scheme val="minor"/>
      </rPr>
      <t xml:space="preserve">80%? </t>
    </r>
  </si>
  <si>
    <r>
      <t xml:space="preserve">Passez en revue les 3 derniers rapports d'EEQ pour le TSA. Sur combien le score de laboratoire était-il </t>
    </r>
    <r>
      <rPr>
        <u/>
        <sz val="10"/>
        <color theme="1"/>
        <rFont val="Calibri"/>
        <family val="2"/>
        <scheme val="minor"/>
      </rPr>
      <t>&gt;</t>
    </r>
    <r>
      <rPr>
        <sz val="10"/>
        <color theme="1"/>
        <rFont val="Calibri"/>
        <family val="2"/>
        <scheme val="minor"/>
      </rPr>
      <t xml:space="preserve"> 80%?</t>
    </r>
  </si>
  <si>
    <r>
      <t xml:space="preserve">Revise las 3 pruebas de EQA más recientes para PSA. ¿En cuántas obtuvo el laboratorio una puntuación </t>
    </r>
    <r>
      <rPr>
        <u/>
        <sz val="10"/>
        <color rgb="FF000000"/>
        <rFont val="Calibri"/>
        <family val="2"/>
        <scheme val="minor"/>
      </rPr>
      <t>&gt;</t>
    </r>
    <r>
      <rPr>
        <sz val="10"/>
        <color rgb="FF000000"/>
        <rFont val="Calibri"/>
        <family val="2"/>
        <scheme val="minor"/>
      </rPr>
      <t xml:space="preserve"> 80%?</t>
    </r>
  </si>
  <si>
    <r>
      <t xml:space="preserve">Reveja os 3 painéis  mais recentes da AEQ para a TSA. Em quantos o laboratório obteve uma pontuação </t>
    </r>
    <r>
      <rPr>
        <u/>
        <sz val="10"/>
        <color theme="1"/>
        <rFont val="Calibri"/>
        <family val="2"/>
        <scheme val="minor"/>
      </rPr>
      <t>&gt;</t>
    </r>
    <r>
      <rPr>
        <sz val="10"/>
        <color theme="1"/>
        <rFont val="Calibri"/>
        <family val="2"/>
        <scheme val="minor"/>
      </rPr>
      <t xml:space="preserve"> 80%?</t>
    </r>
  </si>
  <si>
    <t>Is a root cause analysis performed when unacceptable PT/EQA results are obtained? (Request to see a recent example)</t>
  </si>
  <si>
    <t>Une analyse des causes profondes est-elle effectuée lorsque des résultats inacceptables de TP / EEQ sont obtenus? (Demandez de voir un exemple récent)</t>
  </si>
  <si>
    <t>¿Se realiza un análisis de causa-raíz cuando se obtienen resultados inaceptables de PT / EQA? (Solicitar ver un ejemplo reciente)</t>
  </si>
  <si>
    <t>A análise de causa raiz é executada quando são obtidos resultados inaceitáveis de TP/AEQ ? (Solicite ver um exemplo recente)</t>
  </si>
  <si>
    <t>Une action corrective basée sur les résultats de l'analyse des causes profondes est-elle documentée?</t>
  </si>
  <si>
    <t>Is there evidence the supervisor or Quality Officer has received adequate training on how to perform root-cause analysis for EQA failures?</t>
  </si>
  <si>
    <t>Existe-t-il des preuves que le superviseur ou le responsable de la qualité a reçu une formation adéquate sur la manière d'effectuer une analyse des causes profondes des échecs de l'EEQ?</t>
  </si>
  <si>
    <t>¿Existe evidencia de que el Supervisor o el Encargado de Calidad ha recibido la formación adecuada sobre cómo realizar un análisis de causa-raíz para fallos en el EQA?</t>
  </si>
  <si>
    <t>Existe evidência que o Supervisor ou Responsável pela Qualidade tenha recebido formação adequada sobre como realizar análise de causa raiz de falhas da AEQ?</t>
  </si>
  <si>
    <t>1: Sim - 2: Alguns, mas gostariam de treinamento adicional - 3: Não</t>
  </si>
  <si>
    <t xml:space="preserve">Is laboratory leadership notified of all unacceptable EQA results as soon as they are received? </t>
  </si>
  <si>
    <t>La direction du laboratoire est-elle informée de tous les résultats de l'EEQ non conformes dès leur réception?</t>
  </si>
  <si>
    <t>¿Se notifica al responsable del laboratorio todos los resultados inaceptables del EQA tan pronto como se reciben?</t>
  </si>
  <si>
    <t xml:space="preserve">O responsável do laboratório é notificado de todos os resultados  inaceitáveis ​​da AEQ assim que eles são recebidos? </t>
  </si>
  <si>
    <t>5- MEDIA PREPARATION AND QUALITY CONTROL</t>
  </si>
  <si>
    <t>5- PREPARATION DES MILIEUX ET CONTROLE DE QUALITE</t>
  </si>
  <si>
    <t>5- PREPARACIÓN DE MEDIOS Y CONTROL DE CALIDAD</t>
  </si>
  <si>
    <t>5-PREPARAÇÃO DE MEIOS E CONTROLE DE QUALIDADE</t>
  </si>
  <si>
    <t>POPs DE PREPARAÇÃO DE MEIOS</t>
  </si>
  <si>
    <t xml:space="preserve">Are  media-specific SOPs in place for each type of media reconstituted in house? </t>
  </si>
  <si>
    <t>Des POS spécifiques aux milieux sont-elles en place pour chaque type de milieux reconstitués en interne?</t>
  </si>
  <si>
    <t>¿Se han implementado POEs específicos para cada tipo de medio que se reconstituya en el laboratorio?</t>
  </si>
  <si>
    <t xml:space="preserve">Existem POPs específicos para cada tipo de meio reconstituído no laboratório? </t>
  </si>
  <si>
    <t>Do all media preparation records including the following?</t>
  </si>
  <si>
    <t>Est-ce que tout les préparation de milieux reportent ce qui suit?</t>
  </si>
  <si>
    <t>¿Incluyen todos los registros de preparación de medios los siguientes datos?</t>
  </si>
  <si>
    <t>Todos os registros de preparação de meios, incluem os seguintes dados?</t>
  </si>
  <si>
    <t>Name of media</t>
  </si>
  <si>
    <t>Nom du milieu</t>
  </si>
  <si>
    <t>Nombre de los medios</t>
  </si>
  <si>
    <t>Nome do meio</t>
  </si>
  <si>
    <t>Date of preparation</t>
  </si>
  <si>
    <t>Date de préparation</t>
  </si>
  <si>
    <t>Fecha de preparación</t>
  </si>
  <si>
    <t>Data de preparo</t>
  </si>
  <si>
    <t>Batch number</t>
  </si>
  <si>
    <t>Numéro de lot</t>
  </si>
  <si>
    <t>Número de lote</t>
  </si>
  <si>
    <t>Número do lote</t>
  </si>
  <si>
    <t>Quantity made</t>
  </si>
  <si>
    <t>Quantité préparée</t>
  </si>
  <si>
    <t>Cantidad hecha</t>
  </si>
  <si>
    <t>Quantidade feita</t>
  </si>
  <si>
    <t>pH</t>
  </si>
  <si>
    <t>Name of preparer</t>
  </si>
  <si>
    <t>Nom du préparateur</t>
  </si>
  <si>
    <t>Nombre de la persona que lo prepara</t>
  </si>
  <si>
    <t>Nome da pessoa que preparou</t>
  </si>
  <si>
    <t>Expiration Date</t>
  </si>
  <si>
    <t>Date d'expiration</t>
  </si>
  <si>
    <t>Fecha de caducidad</t>
  </si>
  <si>
    <t>Data de validade</t>
  </si>
  <si>
    <t>Observe the media reconstituted in house, is each batch clearly labeled with the following?</t>
  </si>
  <si>
    <t>Observez des milieux reconstitués en interne, chaque lot est-il clairement étiqueté avec ce qui suit?</t>
  </si>
  <si>
    <t>Observe los medios que se reconstituyen en el laboratorio, ¿está cada lote claramente etiquetado con los siguientes datos?</t>
  </si>
  <si>
    <t>Observe os meios reconstituídos no laboratório, cada lote está claramente identificado com os seguintes dados?</t>
  </si>
  <si>
    <t>Data de preparação</t>
  </si>
  <si>
    <t>Expiration date</t>
  </si>
  <si>
    <t>Date opened</t>
  </si>
  <si>
    <t>Date d'ouverture</t>
  </si>
  <si>
    <t>Fecha de apertura</t>
  </si>
  <si>
    <t>Data de abertura</t>
  </si>
  <si>
    <t>PREPARATION GENERALE DES MILIEUX</t>
  </si>
  <si>
    <t xml:space="preserve">PREPARAÇÃO GERAL DOS MEIOS </t>
  </si>
  <si>
    <t>Is media prepared in a separate room, apart from the room where specimens and cultures are processed?</t>
  </si>
  <si>
    <t>Les milieux sont-ils préparés dans une pièce séparée, en dehors de la pièce où les échantillons et les cultures sont traités?</t>
  </si>
  <si>
    <t>¿Se preparan los medios en una habitación separada del sitio donde se procesan las muestras y los cultivos?</t>
  </si>
  <si>
    <t>Os meios são preparados em uma área separada da sala onde amostras e culturas são processadas?</t>
  </si>
  <si>
    <t>Is media prepared in a clean room?</t>
  </si>
  <si>
    <t>Les milieux sont-ils préparés dans une salle blanche?</t>
  </si>
  <si>
    <t>¿Se preparan los medios en una sala limpia?</t>
  </si>
  <si>
    <t>Os meios são preparados em uma sala limpa?</t>
  </si>
  <si>
    <t>Is deionized water (DI) or distilled water used to prepare all media?</t>
  </si>
  <si>
    <t>De l'eau déminéralisée ou de l'eau distillée est-elle utilisée pour préparer tous les milieux?</t>
  </si>
  <si>
    <t>¿Se usa agua desionizada (DI) o agua destilada para preparar todos los medios?</t>
  </si>
  <si>
    <t>Água deionizada (DI) ou água destilada é utilizada para preparar todos os meios?</t>
  </si>
  <si>
    <t>Are the media suspensions mixed with a magnetic stir bar while boiling?</t>
  </si>
  <si>
    <t>Les suspensions de milieux sont-elles mélangées avec une barre d'agitation magnétique pendant l'ébullition?</t>
  </si>
  <si>
    <t>¿Se mezclan las suspensiones de los medios con una barra de agitación magnética mientras se hierven?</t>
  </si>
  <si>
    <t>As suspensões dos meios são misturadas com uma barra de agitação magnética durante a fervura?</t>
  </si>
  <si>
    <r>
      <t xml:space="preserve">Is the dissolved suspension autoclaved in a clean autoclave at 15 psi, 121°C, for </t>
    </r>
    <r>
      <rPr>
        <u/>
        <sz val="10"/>
        <color theme="1"/>
        <rFont val="Calibri"/>
        <family val="2"/>
        <scheme val="minor"/>
      </rPr>
      <t>&gt;</t>
    </r>
    <r>
      <rPr>
        <sz val="10"/>
        <color theme="1"/>
        <rFont val="Calibri"/>
        <family val="2"/>
        <scheme val="minor"/>
      </rPr>
      <t>15 minutes?</t>
    </r>
  </si>
  <si>
    <r>
      <t xml:space="preserve">La suspension dissoute est-elle autoclavée dans un autoclave propre à 15 psi, 121 ° C, pendant </t>
    </r>
    <r>
      <rPr>
        <u/>
        <sz val="10"/>
        <color theme="1"/>
        <rFont val="Calibri"/>
        <family val="2"/>
        <scheme val="minor"/>
      </rPr>
      <t>&gt;</t>
    </r>
    <r>
      <rPr>
        <sz val="10"/>
        <color theme="1"/>
        <rFont val="Calibri"/>
        <family val="2"/>
        <scheme val="minor"/>
      </rPr>
      <t>15 minutes?</t>
    </r>
  </si>
  <si>
    <r>
      <t xml:space="preserve">¿La suspensión disuelta se autoclava en un autoclave limpio a 15 psi, 121 ° C, durante </t>
    </r>
    <r>
      <rPr>
        <u/>
        <sz val="10"/>
        <color rgb="FF000000"/>
        <rFont val="Calibri"/>
        <family val="2"/>
        <scheme val="minor"/>
      </rPr>
      <t>&gt;</t>
    </r>
    <r>
      <rPr>
        <sz val="10"/>
        <color rgb="FF000000"/>
        <rFont val="Calibri"/>
        <family val="2"/>
        <scheme val="minor"/>
      </rPr>
      <t>15 minutos?</t>
    </r>
  </si>
  <si>
    <r>
      <t xml:space="preserve">As suspensões dissolvidas são autoclavada em um autoclave limpo a 15 psi, 121 ° C, durante </t>
    </r>
    <r>
      <rPr>
        <u/>
        <sz val="10"/>
        <color theme="1"/>
        <rFont val="Calibri"/>
        <family val="2"/>
        <scheme val="minor"/>
      </rPr>
      <t>&gt;</t>
    </r>
    <r>
      <rPr>
        <sz val="10"/>
        <color theme="1"/>
        <rFont val="Calibri"/>
        <family val="2"/>
        <scheme val="minor"/>
      </rPr>
      <t>15 minutos?</t>
    </r>
  </si>
  <si>
    <t>Is the autoclaved suspension cooled to 45-50°C before adding additional compounds (e.g., blood)?</t>
  </si>
  <si>
    <t>La suspension autoclavée est-elle refroidie à 45-50 ° C avant d'ajouter des composés supplémentaires (par exemple du sang)?</t>
  </si>
  <si>
    <t>¿Se enfría la suspensión autoclavada a 45-50 ° C antes de agregar compuestos adicionales (por ejemplo, sangre)?</t>
  </si>
  <si>
    <t>A suspensão autoclavada é arrefecida a 45-50 ° C antes de colocar compostos adicionais (ex., sangue)?</t>
  </si>
  <si>
    <t>What is the source of the blood used to make the blood agar, chocolate, and/or MHB plates?</t>
  </si>
  <si>
    <t>Quelle est la source de sang utilisée pour fabriquer les géloses au sang, géloses chocolat et / ou  MHB?</t>
  </si>
  <si>
    <t>¿Cuál es el origen de la sangre utilizada para hacer las placas de agar sangre, chocolate y / o MHB?</t>
  </si>
  <si>
    <t>Qual é a fonte do sangue utilizado para fazer placas de ágar sangue,  chocolate, e / ou MHB?</t>
  </si>
  <si>
    <t xml:space="preserve">1: Sheep’s blood - 2: Human blood (e.g., from expired packed cells) - 3: Other source (please describe in comments) </t>
  </si>
  <si>
    <t>1: Sang de mouton - 2: Sang humain (par exemple, à partir de poches expirées) - 3: Autre source (veuillez préciser dans les commentaires)</t>
  </si>
  <si>
    <t>1: sangre de oveja - 2: sangre humana (Ej., de glóbulos rojos empacados caducados) - 3: otro origen (por favor describa en los comentarios)</t>
  </si>
  <si>
    <t xml:space="preserve">1: Sangue de carneiro - 2: Sangue humano (Ex. a partir bolsas de sangue embaladas e expiradas) - 3: Outra fonte (por favor descreva nos comentários) </t>
  </si>
  <si>
    <t xml:space="preserve">Is the pH recorded for all media prepared in house? </t>
  </si>
  <si>
    <t>Le pH est-il enregistré pour tous les milieux préparés en interne?</t>
  </si>
  <si>
    <t>¿Se registra el pH para todos los medios preparados en el laboratorio?</t>
  </si>
  <si>
    <t>O pH é registrado para todos os meios preparados no laboratório?</t>
  </si>
  <si>
    <t>Is all prepared media stored at 2-8°C until use?</t>
  </si>
  <si>
    <t>Tous les milieux préparés sont-ils conservés entre 2 et 8 ° C jusqu'à leur utilisation?</t>
  </si>
  <si>
    <t>¿Se almacenan a 2-8 ° C todos los medios preparados hasta su uso?</t>
  </si>
  <si>
    <t>Todos os meios preparados são armazenados de  2-8 ° C até a sua utilização?</t>
  </si>
  <si>
    <t>Are plates stored inside bags/sleeves to avoid dehydration?</t>
  </si>
  <si>
    <t>Les boîtes sont-elles rangées dans des sacs pour éviter la déshydratation?</t>
  </si>
  <si>
    <t>¿Se almacenan las placas dentro de bolsas / mangas para evitar la deshidratación?</t>
  </si>
  <si>
    <t>As placas são armazenados dentro de sacos/mangas para evitar a desidratação?</t>
  </si>
  <si>
    <t>PREPARATION D'EAU DISTILLE / DEIONISEE</t>
  </si>
  <si>
    <t>PREPARAÇÃO DE ÁGUA DESTILADA/DEIONIZADA</t>
  </si>
  <si>
    <t xml:space="preserve">If the lab or facility produces it's own distilled or deionized water, are QC records present for the following? </t>
  </si>
  <si>
    <t>Si le laboratoire ou la structure produit sa propre eau distillée ou désionisée, des registres de contrôle de la qualité sont-ils présents pour les éléments suivants?</t>
  </si>
  <si>
    <t>Si el laboratorio o el centro produce su propia agua destilada o desionizada, ¿hay registros de CC para lo siguiente?</t>
  </si>
  <si>
    <t xml:space="preserve">Se o laboratório ou instituição produz a sua própria água destilada ou deionizada, há registros de CQ para os seguintes dados? </t>
  </si>
  <si>
    <t>Conductimetry</t>
  </si>
  <si>
    <t>Conductimétrie</t>
  </si>
  <si>
    <t>Conductimetría</t>
  </si>
  <si>
    <t>Condutividade</t>
  </si>
  <si>
    <t>Sterility</t>
  </si>
  <si>
    <t>Stérilité</t>
  </si>
  <si>
    <t>Esterilidad</t>
  </si>
  <si>
    <t>Esterilidade</t>
  </si>
  <si>
    <t xml:space="preserve">If the lab purchases distilled or deionized water, does it come with a Certificate of Analysis demonstrating proper pH, sterility and conductimetry? </t>
  </si>
  <si>
    <t>Si le laboratoire achète de l'eau distillée ou déminéralisée, un certificat d'analyse est-il fourni attestant du pH, de la stérilité et de la conductimétrie appropriés?</t>
  </si>
  <si>
    <t>Si el laboratorio compra agua destilada o desionizada, ¿viene con un Certificado de Análisis que demuestre que el pH, la esterilidad y la conductimetría son los adecuados?</t>
  </si>
  <si>
    <t xml:space="preserve">Se o laboratório compra água destilada ou deionizada, a mesma vem com um Certificado de Análise demonstrando que o pH, a esterilidade e a condutividade estão adequados? </t>
  </si>
  <si>
    <t xml:space="preserve">CQ DES MILIEUX DE ROUTINE </t>
  </si>
  <si>
    <t xml:space="preserve">Are new batches of media checked for sterility by incubating a portion of un-inoculated plates? </t>
  </si>
  <si>
    <t>Est-ce que la stérilité des nouveaux lots de milieux est contrôlée en incubant une fraction des boîtes non ensemencées?</t>
  </si>
  <si>
    <t>¿Se verifica la esterilidad de nuevos lotes de medios incubando una porción de placas no inoculadas?</t>
  </si>
  <si>
    <t xml:space="preserve">Os novos lotes dos meios tem a sua esterilidade verificada, incubando uma porção de placas não inoculadas? </t>
  </si>
  <si>
    <t>Are media quality controlled by using ATCC or ATCC-derivative strains?</t>
  </si>
  <si>
    <t>La qualité du milieux est-elle contrôlée en utilisant les souches ATCC ou dérivées d'ATCC?</t>
  </si>
  <si>
    <t>¿Se controla la calidad de los medios usando cepas ATCC o derivadas de ATCC?</t>
  </si>
  <si>
    <t>Os meios tem sua qualidade controlada utilizando cepas  ATCC ou derivadas da ATCC?</t>
  </si>
  <si>
    <t>1: All - 2: Some - 3: None</t>
  </si>
  <si>
    <t>1: Tous - 2: Certains - 3: Aucun</t>
  </si>
  <si>
    <t>1: Todos - 2: Algunos - 3: Ninguno</t>
  </si>
  <si>
    <t>1: Todos- 2: Alguns - 3: Nenhum</t>
  </si>
  <si>
    <t xml:space="preserve">Do records demonstrate that QC is performed on each newly reconstituted batch or newly received lot number/shipment of media? </t>
  </si>
  <si>
    <t>Les enregistrements démontrent-ils que le contrôle de qualité est effectué pour chaque lot nouvellement reconstitué ou tout nouveau numéro de lot / récetption d'une nouvelle livraison de milieux?</t>
  </si>
  <si>
    <t>¿Se muestra en los registros que se realiza el CC en cada nuevo lote que se reconstituye o en cada nuevo número de lote / pedido de medio?</t>
  </si>
  <si>
    <t xml:space="preserve">Os registros demonstram que o CQ é realizado em cada lote recém-reconstituído ou  número de lote / remessa de meios recém- recebido? </t>
  </si>
  <si>
    <t xml:space="preserve">Do QC records for blood agar plates (BAP) demonstrate that they are checked for their ability to support growth of fastidious organisms such as Streptococcus pneumoniae? </t>
  </si>
  <si>
    <t>Les enregistrements de contrôle de la qualité des géloses au sang démontrent-ils que leur aptitude à soutenir la croissance d'organismes fastidieux tels que Streptococcus pneumoniae est vérifiée?</t>
  </si>
  <si>
    <t>¿Se muestra en los registros de CC de las placas de agar sangre que se verifica su capacidad para crecer organismos fastidiosos como Streptococcus pneumoniae?</t>
  </si>
  <si>
    <t xml:space="preserve">Os registros de CQ para as placas de ágar sangue demonstram que são verificadas quanto à sua capacidade  para o crescimento de organismos exigentes, tais como Streptococcus pneumoniae? </t>
  </si>
  <si>
    <t xml:space="preserve">Do QC records for BAP demonstrate that they are checked for their ability to show alpha, beta, and gamma hemolysis? </t>
  </si>
  <si>
    <t>Les enregistrements de contrôle de qualité pour les géloses au sang montrent-ils que leur aptitude à mettre en évidence une hémolyse alpha, bêta, et gamma est vérifiée?</t>
  </si>
  <si>
    <t>¿Se muestra en los registros de CC de las placas de agar sangre que se verifica su capacidad para mostrar hemólisis alfa, beta, y gamma?</t>
  </si>
  <si>
    <t xml:space="preserve">Os registros de CQ para placas de ágar sangue demonstram que são verificadas quanto à sua capacidade de mostrar alfa, beta, e gama hemólise? </t>
  </si>
  <si>
    <t>Do QC records for chocolate agar plates demonstrate that they are checked for their ability to support the growth of fastidious organisms, such as Neisseria gonorrhoeae or H. influenzae?</t>
  </si>
  <si>
    <t>Les registres de contrôle de la qualité des géloses au chocolat démontrent-ils que leur aptitude à soutenir la croissance d'organismes fastidieux, tels que Neisseria gonorrhoeae ou H. influenzae, est vérifiée?</t>
  </si>
  <si>
    <t>¿Se muestra en los registros de CC de las placas de agar chocolate que se verifica su capacidad para crecer organismos fastidiosos, como Neisseria gonorrhoeae o H. influenzae?</t>
  </si>
  <si>
    <t>Os registros de CQ para placas de ágar de chocolate demonstram que eles são verificados quanto à sua capacidade para suportar o crescimento de organismos exigentes, tais como Neisseria gonorrhoeae ou H. influenzae?</t>
  </si>
  <si>
    <t>MacConkey (MAC) and Eosin methylene blue (EMB) agars contain bile salts and/or dyes that are toxic for gram-positive bacteria when made properly. Do QC records for MAC and/or EMB plates demonstrate that each batch/lot is challenged using a gram-positive organism?</t>
  </si>
  <si>
    <t>Les géloses MacConkey (MAC) et Eosin methylene Blue (EMB) contiennent des sels biliaires et / ou des colorants toxiques pour les bactéries à Gram positif lorsqu'ils sont fabriqués correctement. Les enregistrements de contrôle de qualité pour les boîtes MAC et / ou EMB démontrent-ils que chaque lot / série est testé en utilisant un organisme Gram positif?</t>
  </si>
  <si>
    <t>Los agares MacConkey (MAC) y Eosina azul de metileno (EMB, por sus siglas en inglés) contienen sales biliares y / o colorantes que son tóxicos para las bacterias Gram positivas cuando se hacen correctamente. ¿Se muestra en los registros de CC de las placas MAC y / o EMB que en cada lote  se inocula un organismo Gram positivo como control?</t>
  </si>
  <si>
    <t>O Ágar MacConkey (MAC) e o Eosina azul de metileno (EMB)  contém sais biliares e / ou corantes que são tóxicos para as bactérias Gram-positivas quando feitos corretamente. Os registros de CQ para MAC e / ou placas EMB demonstram que cada lote é desafiado usando um organismo Gram positivo?</t>
  </si>
  <si>
    <t>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t>
  </si>
  <si>
    <t>Les colorants et les indicateurs de pH dans les boîtes MAC et EMB fournissent un indicateur coloré permettant de distinguer les organismes à Gram négatif qui fermentent le lactose (LF) et ceux qui ne fermentent pas le lactose (NLF). Est-ce que les enregistrements de contrôle de qualité pour les boîtes MAC et / ou EMB démontrent que chaque lot /série est testé en utilisant à la fois des organismes LF et NLF?</t>
  </si>
  <si>
    <t>Los colorantes y los indicadores de pH en las placas MAC y EMB proporcionan un indicador de color para distinguir entre los organismos Gram negativos fermentadores de lactosa (FL) y no fermentadores de lactosa (NFL). ¿Se muestra en los registros de CC de las placas MAC y / o EMB que en cada lote se inoculan organismos tanto FL como NFL como control?</t>
  </si>
  <si>
    <t>Corantes e indicadores de pH em placas EMB e MAC proporcionam um indicador de cor para distinguir entre organismos Gram negativos fermentadores de lactose (LF) e não-fermentadores de lactose (FNL) Gram. Os registros de CQ para MAC e / ou placas EMB demonstram que cada lote/ número de lote é desafiado usando tanto LF e organismos NLF?</t>
  </si>
  <si>
    <t>Do QC records for selective stool agar plates (e.g. XLD, SS, HE) demonstrate that they are checked for their ability to suppress the growth of Gram positive organisms?</t>
  </si>
  <si>
    <t>Les enregistrements de contrôle de qualité pour les géloses sélectives (par exemple XLD, SS, HE) démontrent-ils que leur aptitude à supprimer la croissance des organismes à Gram positif est vérifiée?</t>
  </si>
  <si>
    <t>¿Se muestra en los registros de CC de las placas de agar selectivas para heces (Ej., XLD, SS, HE) que se verifica su capacidad para suprimir el crecimiento de organismos Gram positivos?</t>
  </si>
  <si>
    <t>Os registros de CQ para placas de ágar seletivas para fezes  (Ex, XLD, SS, HE) demonstram que são verificadas quanto à sua capacidade para suprimir o crescimento de organismos Gram-positivos?</t>
  </si>
  <si>
    <t>Do QC records for selective stool agar plates demonstrate that they are checked for their ability to make hydrogen sulfide (H2S) production visible using a H2S producing organism, such as Salmonella spp or Proteus vulgaris?</t>
  </si>
  <si>
    <t>Les registres de contrôle de la qualité des géloses sélectives montrent-ils que leur aptitude à rendre visible la production de sulfure d'hydrogène (H2S) est vérifiée à l'aide d'un organisme producteur de H2S, tel que Salmonella spp ou Proteus vulgaris?</t>
  </si>
  <si>
    <t>¿Se muestra en los registros de CC de las placas de agar selectivas para heces que se verifica su capacidad para hacer visible la producción de sulfuro de hidrógeno (H2S) utilizando un organismo productor de H2S, como Salmonella spp o Proteus vulgaris?</t>
  </si>
  <si>
    <t>Os registros de CQ para placas de ágar seletivas para fezes demonstram que são verificadas quanto à sua capacidade para produção visível de sulfato de hidrogênio (H2S) utilizando um organismo produtor de H2S, tais como Salmonella spp ou Proteus vulgaris?</t>
  </si>
  <si>
    <t>Do QC records for selective stool agar plates demonstrate that they are checked for their ability to make the acid byproducts of carbohydrate fermentation visible using both fermenters and nonfermenters?</t>
  </si>
  <si>
    <t>Les registres de contrôle de la qualité des géloses sélectives montrent-ils que leur aptitude à rendre visibles les sous-produits acides de la fermentation des glucides est vérifiée à l'aide de fermenteurs et de non-fermenteurs?</t>
  </si>
  <si>
    <t>¿Se muestra en los registros de CC de las placas de agar selectivas para heces que se verifica su capacidad para hacer visibles los subproductos ácidos de la fermentación de carbohidratos utilizando fermentadores y no fermentadores?</t>
  </si>
  <si>
    <t>Os registros de CQ para placas de ágar seletivas para fezes demonstram que são verificadas quanto à sua capacidade de fazer visíveis os subprodutos ácidos da fermentação de carboidratos usando ambos os fermentadores e não fermentadores?</t>
  </si>
  <si>
    <t>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t>
  </si>
  <si>
    <t>Standard: CAP MIC.21300; SANAS TG 28-02: 6.1 Les performances appropriées des milieux de culture, des diluants et des autres suspensions préparées en interne doivent être vérifiées, le cas échéant, en ce qui concerne la récupération ou le maintien en survie des organismes cibles, l'inhibition ou la suppression des organismes non cibles, propriétés biochimiques (différentielles et diagnostiques), propriétés physiques (p. ex. pH, volume et stérilité).</t>
  </si>
  <si>
    <t>Estándar: CAP MIC.21300; SANAS TG 28-02: 6.1 Para asegurar el rendimiento adecuado de los medios de cultivo, diluyentes y otras suspensiones preparadas in-house en el laboratorio debe verificarse, cuando corresponda, la recuperación o la supervivencia de los organismos diana , la inhibición o la supresión de organismos no diana, y asegurar el mantenimiento de las propiedades bioquímicas (diferenciales y de diagnóstico) y propiedades físicas (Ej. pH, volumen y esterilidad).</t>
  </si>
  <si>
    <t>Norma: CAP MIC.21300; SANAS TG 28-02: 6.1 O desempenho adequado dos meios de cultura, diluentes, e outras suspensões preparadas no laboratório (in-house) devem ser verificados, se for caso, no que diz respeito a recuperação ou a manutenção de sobrevivência de organismos alvo, inibição ou supressão de organismos não-alvo, propriedades bioquímicas (diferencial e de diagnóstico), propriedades físicas (ex., pH, volume, e esterilidade).</t>
  </si>
  <si>
    <t xml:space="preserve">PREPARATION ET CQ DES MILIEUX MULLER HINTON </t>
  </si>
  <si>
    <t>PREPARAÇÃO E CQ DE MEIOS DE MULLER HINTON</t>
  </si>
  <si>
    <t>Examine the lab’s Mueller Hinton plates and SOP for the following:</t>
  </si>
  <si>
    <t>Examinez les boîtes et la procédure opératoire standard du laboratoire pour les milieux Mueller Hinton:</t>
  </si>
  <si>
    <t>Examine las placas Mueller Hinton del laboratorio y su POE para lo siguiente:</t>
  </si>
  <si>
    <t>Examine as placas de Mueller Hinton do laboratório e seu POP para o seguinte:</t>
  </si>
  <si>
    <t>Does the dehydrated Mueller Hinton Agar (dHMA) meet ISO 16782 (CLSI M6) standards? (Low thymine/thymidine content, not supplemented with Mg++ or Ca++ cations)</t>
  </si>
  <si>
    <t>Les géloses Mueller Hinton déshydratées (dHMA) sont-elles conformes aux normes ISO 16782 (CLSI M6)? (Faible teneur en thymine / thymidine, non complémentée par des cations Mg ++ ou Ca ++)</t>
  </si>
  <si>
    <t>¿El agar deshidratado Mueller Hinton (dHMA) cumple con las normas ISO 16782 (CLSI M6)? (Bajo contenido de timina / timidina, no suplementado con cationes Mg ++ o Ca ++)</t>
  </si>
  <si>
    <t>O meio desidratado de Mueller Hinton Agar (dHMA) atende as normas ISO 16782 (CLSI M6)? (Baixo teor de timina / timidina, não suplementado com cátions Mg ++ ou Ca ++ )</t>
  </si>
  <si>
    <t>Does the lab add calcium or magnesium cations to dMHA?</t>
  </si>
  <si>
    <t>Le laboratoire ajoute-t-il des cations de calcium ou de magnésium au dMHA?</t>
  </si>
  <si>
    <t>¿Agrega el laboratorio cationes de calcio o magnesio al agar dMHA?</t>
  </si>
  <si>
    <t>O laboratório adiciona cátions cálcio ou magnésio ao ágar dMHA?</t>
  </si>
  <si>
    <t>Immediately after autoclaving, is agar allowed to cool in a 45° - 50°C water bath?</t>
  </si>
  <si>
    <t>Immédiatement après l'autoclavage, laisse-t-on refroidir la gélose dans un bain marie à 45°C - 50°C?</t>
  </si>
  <si>
    <t>Inmediatamente después de la esterilización en el autoclave, ¿se deja enfriar el agar en un baño de agua a 45° - 50°C?</t>
  </si>
  <si>
    <t>Imediatamente depois da autoclavagem, o ágar é deixado esfriar a 45° a 50°C em banho-maria?</t>
  </si>
  <si>
    <t>Do plates have a uniform depth of approximately 4mm? Verify by examining a recent batch.</t>
  </si>
  <si>
    <t>Les gélosess ont-elles une épaisseur uniforme d'environ 4 mm? Vérifiez en examinant un lot récent.</t>
  </si>
  <si>
    <t>¿Tienen las placas una profundidad uniforme de aproximadamente 4 mm? Verifique examinando un lote reciente.</t>
  </si>
  <si>
    <t>As placas têm uma profundidade uniforme de aproximadamente 4 milímetros? Verifique examinando um lote recente.</t>
  </si>
  <si>
    <t>Are plates poured on a level surface?</t>
  </si>
  <si>
    <t>Les géloses sont-elles coulées sur une surface plane?</t>
  </si>
  <si>
    <t>¿Se vierten las placas en una superficie nivelada?</t>
  </si>
  <si>
    <t>As placas são feitas sobre uma superfície plana?</t>
  </si>
  <si>
    <t>Do records demonstrate that pH is 7.2 – 7.4 for each batch?</t>
  </si>
  <si>
    <t>Les enregistrements démontrent-ils que le pH est compris entre 7,2 et 7,4 pour chaque lot?</t>
  </si>
  <si>
    <t>¿Muestran los registros que el pH es 7.2 - 7.4 para cada lote?</t>
  </si>
  <si>
    <t>Há registos que  demonstram que o pH é de  7.2-7.4 para cada lote?</t>
  </si>
  <si>
    <t>Do records indicate that sterility is checked for each batch? (By incubating a portion of un-inoculated plates, ideally 5%)</t>
  </si>
  <si>
    <t>Les enregistrements indiquent-ils que la stérilité est contrôlée pour chaque lot? (En incubant une partie des boîtes non inoculées, idéalement 5%)</t>
  </si>
  <si>
    <t>¿Se indica en los registros que se verifica la esterilidad para cada lote? (Incubando una porción de placas no inoculadas, idealmente un 5%)</t>
  </si>
  <si>
    <t>Os registros indicam que a esterilidade é verificada para cada lote? (Por incubação de uma porção de placas não inoculadas, de preferência 5%)</t>
  </si>
  <si>
    <t>Are plates stored at 2-8°C until use?</t>
  </si>
  <si>
    <t>Les boîtes sont-elles conservées entre 2 et 8 ° C jusqu'à leur utilisation?</t>
  </si>
  <si>
    <t>¿Se almacenan las placas a 2-8 ° C hasta su uso?</t>
  </si>
  <si>
    <t>As placas são armazenadas de 2-8 ° C até à sua utilização?</t>
  </si>
  <si>
    <t>Les boîtes sont-elles rangées dans des sacs / containers pour éviter la déshydratation?</t>
  </si>
  <si>
    <t>As placas são armazenadas dentro de sacos / bolsas para evitar a desidratação?</t>
  </si>
  <si>
    <t>Do QC records indicate that each batch of Mueller Hinton agar is checked for its ability to produce expected zone sizes using the following ATCC reference strains and antibiotics?</t>
  </si>
  <si>
    <t>Les registres de contrôle de la qualité indiquent-ils que chaque lot de gélose Mueller Hinton est vérifié pour sa capacité à produire les diamètres  attendues à l'aide des souches de référence et des antibiotiques ATCC suivants?</t>
  </si>
  <si>
    <t>¿Se indica en los registros de CC que en cada lote de agar Mueller Hinton se verifica su capacidad de producir los diámetros de los halos de inhibición esperados utilizando las siguientes cepas ATCC de referencia y antibióticos?</t>
  </si>
  <si>
    <t>Os registros de CQ indicam que cada lote de ágar Mueller Hinton é verificado pela sua capacidade de produzir halos de inibição esperados usando as seguintes cepas de referência ATCC e antibióticos?</t>
  </si>
  <si>
    <t>Pseudomonas aeruginosa 27853 and gentamicin disk</t>
  </si>
  <si>
    <t>Pseudomonas aeruginosa 27853 et disque de gentamicine</t>
  </si>
  <si>
    <t>Pseudomonas aeruginosa 27853 y disco de gentamicina</t>
  </si>
  <si>
    <t>Pseudomonas aeruginosa 27853 e disco de gentamicina</t>
  </si>
  <si>
    <t>Enterococcus faecalis 29212 or 33186 and trimethoprim-sulfamethoxazole disk</t>
  </si>
  <si>
    <t>Enterococcus faecalis 29212 ou 33186 et disque de triméthoprime-sulfaméthoxazole</t>
  </si>
  <si>
    <t>Enterococcus faecalis 29212 o 33186 y disco de trimetoprim-sulfametoxazol</t>
  </si>
  <si>
    <t>Enterococcus faecalis 29212 ou 33186 e disco sulfametoxazol-trimetoprim</t>
  </si>
  <si>
    <t>Do QC records indicate that each batch of Mueller Hinton Blood agar is checked for its ability to produce expected zone sizes using Streptococcus pneumoniae ATCC 49619 (or equivalent)?</t>
  </si>
  <si>
    <t>Les comptes rendus de contrôle qualité interne indiquent-ils que chaque lot de gélose au sang Mueller Hinton est vérifié pour sa capacité à produire les diamètres attendus en utilisant Streptococcus pneumoniae ATCC 49619 (ou équivalent)?</t>
  </si>
  <si>
    <t>¿Se indica en los registros de CC que en cada lote de agar Mueller Hinton suplementado con sangre se verifica su capacidad para producir los diámetros de los halos de inhibición esperados utilizando Streptococcus pneumoniae ATCC 49619 (o equivalente)?</t>
  </si>
  <si>
    <t>Os registros de CQ indicam que cada lote de ágar Mueller Hinton suplementado com sangue é verificado pela sua capacidade de produzir halos de inibição esperados usando Streptococcus pneumoniae ATCC 49619 (ou equivalente)?</t>
  </si>
  <si>
    <t>Check NA if the lab does not use MHB</t>
  </si>
  <si>
    <t>Vérifiez NA si le laboratoire n'utilise pas de MHB</t>
  </si>
  <si>
    <t>Marque NA si el laboratorio no usa agar MHB</t>
  </si>
  <si>
    <t>Marque NA se o laboratório não usa MHB</t>
  </si>
  <si>
    <t xml:space="preserve">PRÉPARATION ET CQ DES FLACONS D'HEMOCULTURE </t>
  </si>
  <si>
    <t xml:space="preserve">PREPARAÇÃO E CQ DOS FRASCOS DE HEMOCULTURA </t>
  </si>
  <si>
    <t>Does the lab prepare blood culture bottles in-house?</t>
  </si>
  <si>
    <t>Le laboratoire prépare-t-il ses propres flacons d'hémoculture?</t>
  </si>
  <si>
    <t>¿Prepara el laboratorio frascos de hemocultivo in-house?</t>
  </si>
  <si>
    <t>O laboratório prepara frascos de hemocultura in-house?</t>
  </si>
  <si>
    <t>If no, answer NA to remaining questions</t>
  </si>
  <si>
    <t>Si non, répondez NA aux questions restantes</t>
  </si>
  <si>
    <t>Si no, responda NA en las preguntas restantes</t>
  </si>
  <si>
    <t>Se não, responder N/A às perguntas seguintes</t>
  </si>
  <si>
    <t xml:space="preserve">Which base broth is used? (Broth must support growth of a wide range of bacterial species) </t>
  </si>
  <si>
    <t>Quel bouillon de base est utilisé? (Le bouillon doit permettre la croissance d'un large éventail d'espèces bactériennes)</t>
  </si>
  <si>
    <t>¿Qué caldo base se usa? (El caldo debe poder crecer una amplia gama de especies bacterianas)</t>
  </si>
  <si>
    <t>Que caldo base é utilizado? ( O caldo tem que suportar o crescimento de uma vasta gama de espécies bacterianas)</t>
  </si>
  <si>
    <t>1-Brain Heart Infusion, 2-Supplemented peptone, 3-Soybean-casein digest (tryptic soy), 4-Thioglycolate, 5-Thiol, 6-Colombia, 7-Brucella, 8-Other, NA</t>
  </si>
  <si>
    <t>1-Infusion cœur cerveau, 2-peptone supplémentée, 3-digestion soja-caséine (soja tryptique), 4-thioglycolate, 5-thiol, 6-Colombia, 7-Brucella, 8-autres, NA</t>
  </si>
  <si>
    <t>Infusión de 1-cerebro-corazón, 2-peptona suplementada, 3-digestión de caseína de soja (soja tríptica), 4-tioglicolato, 5-tiol, 6-Colombia, 7-brucella, 8-otros, NA</t>
  </si>
  <si>
    <t>1-Infusão de cérebro-coração, 2-Peptona suplementada, 3-Digestão de caseína de soja (soja tríptica), 4-Tioglicolato, 5-Tiol, 6-Colômbia, 7-Brucella, 8-Outro, NA</t>
  </si>
  <si>
    <t>Is sodium polyanethole sulfonate (SPS) added? (an anticoagulant and growth stabilizer)</t>
  </si>
  <si>
    <t>Le polyanéthol sulfonate de sodium (SPS) est-il ajouté? (un anticoagulant et un stabilisateur de croissance)</t>
  </si>
  <si>
    <t>¿Se agrega el Polianetol Sulfonato de Sodio (SPS)? (un anticoagulante y estabilizador del crecimiento)</t>
  </si>
  <si>
    <t>O Polianetol Sulfonato de Sódio (SPS) é adicionado? (Um anticoagulante e estabilizador de crescimento)</t>
  </si>
  <si>
    <t>Are any growth-promoters added? (Such as: Gelatin, Yeast Extract, Hemin (X-factor), NAD (Y-factor), Pyridoxine, Para-amino benzoic acid, Cysteine)</t>
  </si>
  <si>
    <t>Des promoteurs de croissance sont-ils ajoutés? (Tels que: gélatine, extrait de levure, hémine (facteur X), NAD (facteur Y), pyridoxine, acide para-amino benzoïque, cystéine)</t>
  </si>
  <si>
    <t>¿Se han agregado promotores de crecimiento? (Tales como: gelatina, extracto de levadura, hemina (factor X), NAD (factor Y), piridoxina, ácido para-aminobenzoico, cisteína)</t>
  </si>
  <si>
    <t>Algum fator de  crescimento é adicionado? (Tais como: Gelatina, Extrato de Levedura, Hemina (fator X), NAD (fator Y), Piridoxina, Ácido para-aminobenzóico, Cisteína)</t>
  </si>
  <si>
    <t>If yes, please describe in comments</t>
  </si>
  <si>
    <t>Si oui, veuillez décrire dans les commentaires</t>
  </si>
  <si>
    <t>En caso afirmativo, describa en los comentarios</t>
  </si>
  <si>
    <t>Se sim, por favor descreva nos comentários</t>
  </si>
  <si>
    <t>Are resins or charcoal added? (to bind antimicrobials present in the patient's blood)</t>
  </si>
  <si>
    <t>Des résines ou du charbon sont-ils ajoutés? (pourneutraliser les antimicrobiens présents dans le sang du patient)</t>
  </si>
  <si>
    <t>¿Se añaden resinas o carbón? (para unir antimicrobianos presentes en la sangre del paciente)</t>
  </si>
  <si>
    <t>Alguma resina ou carvão vegetal é adicionado? (Para se unir aos antimicrobianos presentes no sangue do paciente)</t>
  </si>
  <si>
    <t>If yes, please descrube in comments</t>
  </si>
  <si>
    <t>Si oui, veuillez décrire les commentaires.</t>
  </si>
  <si>
    <t>Is 50mL of broth dispensed into sterile bottles for adult patients? (1:5 blood:broth ratio)</t>
  </si>
  <si>
    <t>50 ml de bouillon sont-ils distribués dans des flacons stériles pour adultes? (Ratio 1: 5 sang: bouillon)</t>
  </si>
  <si>
    <t>¿Se dispensan 50 ml de caldo en frascos estériles para pacientes adultos? (Relación 1: 5 sangre: caldo)</t>
  </si>
  <si>
    <t>Um total de 50 ml de caldo é dispensado em frascos esterilizados para pacientes adultos? (Proporção: 1: 5 sangue: caldo)</t>
  </si>
  <si>
    <t>Is 25mL of broth dispensed into sterile bottles for pediatric patients? (1:5 blood:broth ratio)</t>
  </si>
  <si>
    <t>25 ml de bouillon sont-ils distribués dans des flacons stériles pour les patients pédiatriques? (Ratio 1: 5 sang: bouillon)</t>
  </si>
  <si>
    <t>¿Se dispensan 25 ml de caldo en frascos estériles para pacientes pediátricos? (Relación 1: 5 sangre: caldo)</t>
  </si>
  <si>
    <t>Um total de 25 ml de caldo é dispensado em frascos esterilizados para pacientes pediátricos? (Proporção: 1: 5 sangue: caldo)</t>
  </si>
  <si>
    <r>
      <t>Are the bottles autoclaved at 121</t>
    </r>
    <r>
      <rPr>
        <sz val="10"/>
        <color theme="1"/>
        <rFont val="Calibri"/>
        <family val="2"/>
      </rPr>
      <t>°C</t>
    </r>
    <r>
      <rPr>
        <sz val="10"/>
        <color theme="1"/>
        <rFont val="Calibri"/>
        <family val="2"/>
        <scheme val="minor"/>
      </rPr>
      <t xml:space="preserve"> for </t>
    </r>
    <r>
      <rPr>
        <u/>
        <sz val="10"/>
        <color theme="1"/>
        <rFont val="Calibri"/>
        <family val="2"/>
        <scheme val="minor"/>
      </rPr>
      <t>&gt;</t>
    </r>
    <r>
      <rPr>
        <sz val="10"/>
        <color theme="1"/>
        <rFont val="Calibri"/>
        <family val="2"/>
        <scheme val="minor"/>
      </rPr>
      <t>15 min?</t>
    </r>
  </si>
  <si>
    <r>
      <t xml:space="preserve">Les flacons sont-ils autoclavées à 121°C pendant </t>
    </r>
    <r>
      <rPr>
        <u/>
        <sz val="10"/>
        <color theme="1"/>
        <rFont val="Calibri"/>
        <family val="2"/>
        <scheme val="minor"/>
      </rPr>
      <t>&gt;</t>
    </r>
    <r>
      <rPr>
        <sz val="10"/>
        <color theme="1"/>
        <rFont val="Calibri"/>
        <family val="2"/>
        <scheme val="minor"/>
      </rPr>
      <t>15 minutes?</t>
    </r>
  </si>
  <si>
    <r>
      <t xml:space="preserve">¿Se esterilizan en autoclave los frascos a 121ºC durante </t>
    </r>
    <r>
      <rPr>
        <u/>
        <sz val="10"/>
        <color rgb="FF000000"/>
        <rFont val="Calibri"/>
        <family val="2"/>
        <scheme val="minor"/>
      </rPr>
      <t>&gt;</t>
    </r>
    <r>
      <rPr>
        <sz val="10"/>
        <color rgb="FF000000"/>
        <rFont val="Calibri"/>
        <family val="2"/>
        <scheme val="minor"/>
      </rPr>
      <t>15 minutos?</t>
    </r>
  </si>
  <si>
    <r>
      <t xml:space="preserve">As garrafas autoclavadas a 121ºC durante </t>
    </r>
    <r>
      <rPr>
        <u/>
        <sz val="10"/>
        <color theme="1"/>
        <rFont val="Calibri"/>
        <family val="2"/>
        <scheme val="minor"/>
      </rPr>
      <t>&gt;</t>
    </r>
    <r>
      <rPr>
        <sz val="10"/>
        <color theme="1"/>
        <rFont val="Calibri"/>
        <family val="2"/>
        <scheme val="minor"/>
      </rPr>
      <t>15 min?</t>
    </r>
  </si>
  <si>
    <t>Do QC records for blood culture bottles indicate the following:</t>
  </si>
  <si>
    <t>Les enregistrements des CQ pour les flacons d'hémoculture indiquent-ils les éléments suivants:</t>
  </si>
  <si>
    <t>Indican los registros de CC de los frascos de hemocultivo los siguientes datos:</t>
  </si>
  <si>
    <t>Os registros de CQ para garrafas de hemocultura indicam o seguintes dados?</t>
  </si>
  <si>
    <t>Visual inspection performed and documented</t>
  </si>
  <si>
    <t>Une inspection visuelle est réalisée et documentée</t>
  </si>
  <si>
    <t>Inspección visual realizada y documentada</t>
  </si>
  <si>
    <t>Inspeção visual realizada e documentada</t>
  </si>
  <si>
    <t>Checked for sterility by incubating a portion of uninoculated bottles? (Ideally 5%)</t>
  </si>
  <si>
    <t>La stérilité est vérifiée en incubant une partie des flacons non inoculés? (Idéalement 5%)</t>
  </si>
  <si>
    <t>Verificación de la esterilidad incubando una porción de frascos no inoculados (Idealmente 5%)</t>
  </si>
  <si>
    <t>Verificação da esterilidade por incubação de uma porção de frascos não inoculados? (Idealmente 5%)</t>
  </si>
  <si>
    <t>Ability to support growth of Streptococcus pneumoniae</t>
  </si>
  <si>
    <t>La capacité à favoriser la croissance de Streptococcus pneumoniae est vérifiée</t>
  </si>
  <si>
    <t>Capacidad para crecer Streptococcus pneumoniae</t>
  </si>
  <si>
    <t>Capacidade de suportar o crescimento de Streptococcus pneumoniae</t>
  </si>
  <si>
    <t>Ability to support growth of Haemophilus influenzae</t>
  </si>
  <si>
    <t>La capacité à favorises la croissance d'Haemophilus influenzae est vérifiée</t>
  </si>
  <si>
    <t>Capacidad para crecer Haemophilus influenzae</t>
  </si>
  <si>
    <t>Capacidade de suportar o crescimento de Haemophilus influenzae</t>
  </si>
  <si>
    <t>Near the expiration date, is QC repeated on a few of the bottles to confirm the long-term stability of the broth?</t>
  </si>
  <si>
    <t>A l'approche de la date de péremption, le CQ est-il répété sur quelques flacons pour confirmer la stabilité à long terme du bouillon?</t>
  </si>
  <si>
    <t>Cuando se aproxima la fecha de caducidad, ¿se repite el CC en algunos frascos para confirmar la estabilidad del caldo a largo plazo ?</t>
  </si>
  <si>
    <t>Quando se aproxima da data de validade, se repete o CQ em algumas das garrafas para confirmar a estabilidade do caldo a longo prazo?</t>
  </si>
  <si>
    <t>Are unused bottles labeled correctly (name, batch #, production date and expiration date)?</t>
  </si>
  <si>
    <t>Les flacons non utilisées sont-ils correctement étiquetées (nom, numéro de lot, date de production et date de péremption)?</t>
  </si>
  <si>
    <t>¿Los frascos no utilizados están etiquetados correctamente (nombre, número de lote, fecha de producción y fecha de caducidad)?</t>
  </si>
  <si>
    <t>Os frascos não utilizados estão ​​rotulados corretamente (nome, número de lote, data de produção e data de validade)?</t>
  </si>
  <si>
    <t>6- QUALITY CONTROL - ID METHODS</t>
  </si>
  <si>
    <t>6- CONTROLE QUALITE - METHODES D'IDENTIFICATION</t>
  </si>
  <si>
    <t>6- CONTROL DE CALIDAD - MÉTODOS DE ID</t>
  </si>
  <si>
    <t>6- CONTROLE DE QUALIDADE - MÉTODOS DE ID</t>
  </si>
  <si>
    <t>CQ POUR LA COLORATION DE GRAM  et étiquetage et stockage des réactifs</t>
  </si>
  <si>
    <t>Is QC performed and results recorded on each new preparation or lot number of Gram stain reagents?</t>
  </si>
  <si>
    <t>Le CQ est-il effectué et les résultats sont-ils enregistrés pour chaque nouvelle préparation ou numéro de lot de réactifs de la coloration de Gram?</t>
  </si>
  <si>
    <t>¿Se realiza el CC y se registran los resultados en cada nueva preparación o con cada nuevo lote de reactivos para la tinción de gram?</t>
  </si>
  <si>
    <t>O CQ é realizado e os resultados são registados em cada nova preparação ou número de lote de reagentes para a coloração de Gram?</t>
  </si>
  <si>
    <t>1: Yes - 2: Partial - 3: No</t>
  </si>
  <si>
    <t>1: Oui - 2: Partiellement - 3: Non</t>
  </si>
  <si>
    <t>1: Sí - 2: Parcial - 3: No</t>
  </si>
  <si>
    <t>1: Sim - 2: Parcial - 3: Não</t>
  </si>
  <si>
    <t>Standard: CAP MIC.21540, MIC.21624 All staining procedures (Gram stains, special stains, and fluorescent stains) should be checked and results recorded for each new batch of stain.</t>
  </si>
  <si>
    <t>Standard: CAP MIC.21540, MIC.21624 Toutes les procédures de coloration (coloration de Gram, colorations spéciales et colorations fluorescentes) doivent être vérifiées et les résultats enregistrés pour chaque nouveau lot de coloration.</t>
  </si>
  <si>
    <t>Estándar: CAP MIC.21540, MIC.21624 Para cada nuevo lote de tinción (tinciones de Gram, tinciones especiales y fluorescentes) se deben verificar todos los procedimientos de tinción y registrar los resultados.</t>
  </si>
  <si>
    <t>Norma: CAP MIC.21540, MIC.21624 Todos os procedimentos de coloração (coloração de Gram, colorações especiais e fluorescentes) devem ser verificadas e os resultados registrados para cada novo lote de coloração.</t>
  </si>
  <si>
    <t>Is Gram stain QC performed using both positive and negative control organisms?</t>
  </si>
  <si>
    <t>Le contrôle qualité de la coloration de Gram utilise-t-il des organismes témoins positifs et négatifs?</t>
  </si>
  <si>
    <t>¿Se realiza el CC de la tinción de Gram utilizando organismos de control tanto positivos como negativos?</t>
  </si>
  <si>
    <t>O CQ da coloração de Gram é realizado utilizando organismos de controle tanto positivos como negativos?</t>
  </si>
  <si>
    <t xml:space="preserve">Observe the Gram stain, catalase, coagulase, oxidase and indole reagents in use by the laboratory. Are they labeled with: </t>
  </si>
  <si>
    <t>Observez les  colorants de Gram, les réactifs catalase, coagulase, oxydase et indole  utilisés par le laboratoire. Sont-ils étiquetés avec:</t>
  </si>
  <si>
    <t>Observe los reactivos de tinción de Gram, catalasa, coagulasa, oxidasa e indol en uso por el laboratorio. ¿Están etiquetados con:</t>
  </si>
  <si>
    <t>Observe a coloração de Gram, catalase, coagulase, oxidase e reagentes de indol  em uso pelo laboratório. Eles são rotulados com:</t>
  </si>
  <si>
    <t>Name of reagent</t>
  </si>
  <si>
    <t>Nom du réactif</t>
  </si>
  <si>
    <t>Nombre del reactivo</t>
  </si>
  <si>
    <t>Nome do reagente</t>
  </si>
  <si>
    <t>Date of preparation/reconstitution (if relevant, e.g., coagulase)</t>
  </si>
  <si>
    <t>Date de préparation / reconstitution (le cas échéant, par exemple coagulase)</t>
  </si>
  <si>
    <t>Fecha de preparación / reconstitución (si corresponde, ej., coagulasa)</t>
  </si>
  <si>
    <t>Data de preparação / reconstituição (se for o caso, ex., coagulase)</t>
  </si>
  <si>
    <t>Date of opening</t>
  </si>
  <si>
    <t>1: Todos - 2: Alguns - 3: Nenhum</t>
  </si>
  <si>
    <t>Are tubed media, reagents, and kits stored at the temperatures indicated by the manufacturer?</t>
  </si>
  <si>
    <t>Les milieux en tube, les réactifs et les kits commerciaux sont-ils stockés aux températures indiquées par le fabricant?</t>
  </si>
  <si>
    <t>¿Se almacenan los medios en tubos, reactivos y kits a las temperaturas indicadas por el fabricante?</t>
  </si>
  <si>
    <t>Os meios em tubos, reagentes e kits estão armazenados nas temperaturas indicadas pelo fabricante?</t>
  </si>
  <si>
    <t>CQ DES MÉTHODES BIOCHIMIQUES INDIVIDUELLES</t>
  </si>
  <si>
    <t>CQ DE MÉTODOS BIOQÚIMICOS INDIVIDUAIS</t>
  </si>
  <si>
    <t>NOTE: This question applies only to the tubed media and liquid reagents in use by the lab.</t>
  </si>
  <si>
    <t>REMARQUE: cette question ne concerne que les milieux en tube et les réactifs liquides utilisés par le laboratoire.</t>
  </si>
  <si>
    <t>NOTA: Esta pregunta se aplica solo a los medios en tubo y reactivos líquidos en uso por el laboratorio.</t>
  </si>
  <si>
    <t>NOTA: Esta pergunta se aplica apenas aos meios em tubo e reagentes líquidos em uso pelo laboratório.</t>
  </si>
  <si>
    <t>It does NOT apply to the biochemical reagent wells incorporated into pre-defined identification systems,</t>
  </si>
  <si>
    <t>Il NE s'applique PAS aux puits de réactifs biochimiques incorporés dans des systèmes d'identification prédéfinis,</t>
  </si>
  <si>
    <t>NO se aplica a los pocillos de reactivos bioquímicos incorporados en sistemas de identificación predefinidos,</t>
  </si>
  <si>
    <t>NÃO se aplica aos poços de reagentes bioquímicos incorporados em sistemas de identificação pré-definidas.</t>
  </si>
  <si>
    <t xml:space="preserve">such as Vitek, API, Liofilchem, etc. </t>
  </si>
  <si>
    <t>tels que Vitek, API, Liofilchem, etc.</t>
  </si>
  <si>
    <t>como Vitek, API, Liofilchem, etc.</t>
  </si>
  <si>
    <t xml:space="preserve">tal como Vitek, API, Liofilchem, etc. </t>
  </si>
  <si>
    <t>Do QC records demonstrate the following? If a reagent is not used, check NA</t>
  </si>
  <si>
    <t>Les rapports de CQ comportent-ils ce qui suit? Si le réactif n'est pas utilisé, cocher NA</t>
  </si>
  <si>
    <t>¿Se muestra en los registros de CC lo siguiente? Si no se usa reactivo, marque NA</t>
  </si>
  <si>
    <t>Os registros de CQ demonstram o seguinte? Se não utiliza reagentes, marque NA</t>
  </si>
  <si>
    <t>Positive control is used</t>
  </si>
  <si>
    <t>Un contrôle positif est utilisé</t>
  </si>
  <si>
    <t>Se usa control positivo</t>
  </si>
  <si>
    <t>Controle positivo é utilizado</t>
  </si>
  <si>
    <t>Negative control is used</t>
  </si>
  <si>
    <t>Un contrôle négatif est utilisé</t>
  </si>
  <si>
    <t>Se usa control negativo</t>
  </si>
  <si>
    <t>Controle negativo é utilizado</t>
  </si>
  <si>
    <t>Un CQ est effectué sur chaque nouveau numéro de lot / série</t>
  </si>
  <si>
    <t>Un CQ est réalisé à l'aide de souches ATCC ou dérivées d'ATCC</t>
  </si>
  <si>
    <t>El CC se realiza utilizando cepas ATCC o derivadas de ATCC</t>
  </si>
  <si>
    <t>O CQ é realizado utilizando cepas ATCC ou cepas derivadas do ATCC</t>
  </si>
  <si>
    <t>Plasma coagulase</t>
  </si>
  <si>
    <t>Agglutination au latex pour le staphylocoque</t>
  </si>
  <si>
    <t>Staph Chromagar</t>
  </si>
  <si>
    <t xml:space="preserve">Gélose chromogène Staph </t>
  </si>
  <si>
    <t>Disque Optochin ("P")</t>
  </si>
  <si>
    <t>Disco de Optoquina (disco "P")</t>
  </si>
  <si>
    <t>Solubilidade em Bile (desoxicolato)</t>
  </si>
  <si>
    <t>Strep pneumo latex agglutination</t>
  </si>
  <si>
    <t>Agglutination au latex pour le pneumocoque</t>
  </si>
  <si>
    <t xml:space="preserve">Aglutinación de látex para Strep pneumo </t>
  </si>
  <si>
    <t>Aglutinação em látex para Strep pneumo</t>
  </si>
  <si>
    <t>Réactifs indole</t>
  </si>
  <si>
    <t>Reagentes de Indol</t>
  </si>
  <si>
    <t>Rouge de méthyle</t>
  </si>
  <si>
    <t>Triple Sugar Iron agar or Kligler Iron Agar</t>
  </si>
  <si>
    <t>Gélose à triple sucre de fer ou gélose de Kligler</t>
  </si>
  <si>
    <t xml:space="preserve">Agar Hierro-Triple-Azúcar o agar de Hierro de Kligler  </t>
  </si>
  <si>
    <t>Ágar Tríplice Açúcar Ferro ou Agar Ferro de KLIGLER</t>
  </si>
  <si>
    <t>Prova de Oxidação- fermentação (OF) da glicose ou dextrose</t>
  </si>
  <si>
    <t>Reducción de nitrato</t>
  </si>
  <si>
    <t>Redução do nitrato</t>
  </si>
  <si>
    <t>Hidrólisis de gelatina</t>
  </si>
  <si>
    <t>Hidrólise de gelatina</t>
  </si>
  <si>
    <t xml:space="preserve">Chloramphenicol resistance (disk) </t>
  </si>
  <si>
    <t xml:space="preserve">Resistência ao cloranfenicol (disco) </t>
  </si>
  <si>
    <t>Crecimiento a 42 ° C</t>
  </si>
  <si>
    <t>Standard: CAP MIC.21624 Positive and negative controls must be tested and recorded for all differential test procedures. Controls must be performed and recorded at the specific periodic intervals listed for the tests.</t>
  </si>
  <si>
    <t>Standard: CAP MIC.21624 Les contrôles positifs et négatifs doivent être testés et enregistrés pour toutes les procédures d'analyse différentiel. Les contrôles doivent être effectués et enregistrés aux intervalles périodiques spécifiés pour les tests.</t>
  </si>
  <si>
    <t>Estándar: CAP MIC.21624 Los controles positivos y negativos deben ser usados y registrados en todos los procedimientos diferenciales. Los controles deben realizarse y registrarse en los intervalos periódicos específicos enumerados para las pruebas.</t>
  </si>
  <si>
    <t>Norma: CAP MIC.21624 Os controles positivos e negativos devem ser usados e registrados para todos os procedimentos de teste diferencial. Os controles devem ser realizados e registrados em intervalos periódicos específicos listados para os testes.</t>
  </si>
  <si>
    <t>CQ DE LA SEROLOGIE ENTERIQUE</t>
  </si>
  <si>
    <t>Indicate whether the following aspects of QC for Salmonella and/or Shigella serology reagents are performed.</t>
  </si>
  <si>
    <t>Indiquez si les aspects suivants du contrôle de qualité pour les réactifs de sérologie pour Salmonella et / ou Shigella sont effectués.</t>
  </si>
  <si>
    <t xml:space="preserve">Indique si se realizan los siguientes aspectos del CC en los reactivos usados para la serología de Salmonella y / o Shigella </t>
  </si>
  <si>
    <t>Indicar se os seguintes aspectos do QC para os reagentes de sorologia para Salmonella e / ou Shigella são executados</t>
  </si>
  <si>
    <t xml:space="preserve"> If serology testing is not performed, check NA.</t>
  </si>
  <si>
    <t> Si les tests sérologiques ne sont pas effectués, cochez NA.</t>
  </si>
  <si>
    <t>Si no se realizan pruebas serológicas, marque NA.</t>
  </si>
  <si>
    <t xml:space="preserve"> Se o teste de sorologia não é realizado, marque NA.</t>
  </si>
  <si>
    <t>Shigella serogoup</t>
  </si>
  <si>
    <t>Sérogoupage de Shigella</t>
  </si>
  <si>
    <t>Serogrupo de Shigella</t>
  </si>
  <si>
    <t>Sorogrupo de Shigella</t>
  </si>
  <si>
    <t>Salmonella serotype</t>
  </si>
  <si>
    <t>Sérotypage de Salmonella</t>
  </si>
  <si>
    <t>Serotipo de Salmonella</t>
  </si>
  <si>
    <t>Sorotipo de Salmonella</t>
  </si>
  <si>
    <t>CQ DES TROUSSES D'IDENTIFICATION COMMERCIALES ET SYSTÈMES D'IDENTIFICATION AUTOMATISÉS</t>
  </si>
  <si>
    <t>CQ DE KITS COMERCIAIS DE IDENTIFICAÇÃO E SISTEMAS DE IDENTIFICAÇÃO AUTOMATIZADA</t>
  </si>
  <si>
    <t xml:space="preserve">Review QC records for commercial organism identification kits (e.g., API, Liofilchem, RapID) </t>
  </si>
  <si>
    <t>Examiner les enregistrements de contrôle qualité pour les trousses d'identification d'organismes commerciaux (par exemple, API, Liofilchem, RapID)</t>
  </si>
  <si>
    <t>Revise los registros de CC de los kits comerciales de identificación de organismos (Ej., API, Liofilchem, RapID)</t>
  </si>
  <si>
    <t xml:space="preserve">Revise os registros de CQ para kits comerciais  de identificação de organismos (ex. API, Liofilchem, RapID) </t>
  </si>
  <si>
    <t>Check NA if the lab does not use any commercial test kits for organism ID</t>
  </si>
  <si>
    <t>Cochez NA si le laboratoire n'utilise aucun trousse d'analyse commerciale pour l'identification des organismes.</t>
  </si>
  <si>
    <t>Marque NA si el laboratorio no utiliza ningún kit comercial de prueba para identificación de organismos</t>
  </si>
  <si>
    <t>Marque NA se o laboratório não utiliza nenhum kit  comercial para identificação de organismos</t>
  </si>
  <si>
    <t xml:space="preserve">Is QC performed on every new lot number/shipment before kits are placed into use, according to manufacturer recommendations? </t>
  </si>
  <si>
    <t>Le contrôle qualité est-il effectué sur chaque nouveau numéro de lot / nouvel arrivage avant la mise en service des trousses conformément aux recommandations du fabricant?</t>
  </si>
  <si>
    <t>¿Se realiza el CC en cada nuevo número de lote / pedido antes de que los kits se pongan en uso, de acuerdo con las recomendaciones del fabricante?</t>
  </si>
  <si>
    <t xml:space="preserve">O CQ é realizado para cada novo número de lote / remessa antes que os  kits sejam colocados em uso, de acordo com as recomendações do fabricante? </t>
  </si>
  <si>
    <t>Is QC performed using ATCC or ATCC-derivative strains?</t>
  </si>
  <si>
    <t>Le contrôle de qualité est-il effectué avec des souches ATCC ou dérivées d'ATCC?</t>
  </si>
  <si>
    <t>¿Se realiza el CC utilizando cepas ATCC o derivadas de ATCC?</t>
  </si>
  <si>
    <t>O CQ é realizado utilizando cepas ATCC ou cepas derivadas do ATCC?</t>
  </si>
  <si>
    <t>Following manufacturer instructions, are all of the recommended ATCC strains in use for the identification kits?</t>
  </si>
  <si>
    <t>En suivant les instructions du fabricant, toutes les souches ATCC recommandées sont-elles utilisées pour les trousses d’identification?</t>
  </si>
  <si>
    <t>Siguiendo las instrucciones del fabricante, ¿se utilizan todas las cepas ATCC recomendadas para los kits de identificación?</t>
  </si>
  <si>
    <t>Seguindo as instruções do fabricante,  todas as cepas ATCC recomendadas são utilizadas nos kits de identificação?</t>
  </si>
  <si>
    <t>1: All recommended strains are used; 2: Some of the recommended strains are used; 3: None of the recommended reference strains are used; NA</t>
  </si>
  <si>
    <t>1: Toutes les souches recommandées sont utilisées; 2: Certaines des souches recommandées sont utilisées; 3: Aucune des souches de référence recommandées n’est utilisée; N / A</t>
  </si>
  <si>
    <t>1: se utilizan todas las cepas recomendadas; 2: se utilizan algunas de las cepas recomendadas ; 3: No se utiliza ninguna de las cepas de referencia recomendadas; N / A</t>
  </si>
  <si>
    <t xml:space="preserve">1: Todas as cepas recomendadas são utilizadas; 2: Algumas das cepas recomendadas são utilizadas; 3: Nenhuma das cepas de referência recomendadas são utilizadas; N/A </t>
  </si>
  <si>
    <t>Review the QC records for the ID cards/trays used with automated ID instruments (e.g., Vitek, Phoenix, Microscan, etc.) Check NA if the lab does not use automated systems for organism ID</t>
  </si>
  <si>
    <r>
      <t>Examinez les enregistrements de contrôle de qualité pour les cartes / plaques d'identification utilisés avec des instruments d'identification automatisés (Vitek, Phoenix, Microscan, etc.) Cochez NA si le laboratoire n'utilise syst</t>
    </r>
    <r>
      <rPr>
        <sz val="10"/>
        <color rgb="FFFF0000"/>
        <rFont val="Calibri"/>
        <family val="2"/>
        <scheme val="minor"/>
      </rPr>
      <t>e</t>
    </r>
    <r>
      <rPr>
        <sz val="10"/>
        <color theme="1"/>
        <rFont val="Calibri"/>
        <family val="2"/>
        <scheme val="minor"/>
      </rPr>
      <t>mes d'identification automatis</t>
    </r>
    <r>
      <rPr>
        <sz val="10"/>
        <color rgb="FFFF0000"/>
        <rFont val="Calibri"/>
        <family val="2"/>
        <scheme val="minor"/>
      </rPr>
      <t>e</t>
    </r>
    <r>
      <rPr>
        <sz val="10"/>
        <color theme="1"/>
        <rFont val="Calibri"/>
        <family val="2"/>
        <scheme val="minor"/>
      </rPr>
      <t>s pour l'identification des organismes.</t>
    </r>
  </si>
  <si>
    <t>Revise los registros de CC de las tarjetas / bandejas de identificación utilizadas con instrumentos de identificación automatizados (Ej., Vitek, Phoenix, Microscan, etc.). Marque NA si el laboratorio no utiliza sistemas automatizados para identificación de organismos</t>
  </si>
  <si>
    <t>Revisar os registros de CQ para os cartões /bandejas de identificação usadas com instrumentos de identificação automáticos (ex. Vitek, Phoenix, Microscan, etc.) Marque NA se o laboratório não usa sistemas automatizados para identificação de organismos</t>
  </si>
  <si>
    <t>Is QC performed on every new lot number/shipment of ID cards/trays before they are placed into use?</t>
  </si>
  <si>
    <t>Le contrôle qualité est-il effectué sur chaque nouveau numéro de lot / arrivage de cartes/ plaques d'identification avant leur mise en service?</t>
  </si>
  <si>
    <t>¿Se realiza el CC en cada nuevo número de lote / pedido de tarjetas / bandejas de identificación antes de su uso?</t>
  </si>
  <si>
    <t>O CQ é realizado em cada novo número de lote/envio de cartões  / bandejas  de identificação antes de serem colocados em uso?</t>
  </si>
  <si>
    <t>Following manufacturer instructions, are all of the recommended ATCC strains in use for the automated instrument ID cards/trays?</t>
  </si>
  <si>
    <t>En suivant les instructions du fabricant, toutes les souches ATCC recommandées sont-elles utilisées pour les cartes / plaques d’identification automatique des instruments?</t>
  </si>
  <si>
    <t>Siguiendo las instrucciones del fabricante, ¿se utilizan todas las cepas ATCC recomendadas para las tarjetas / bandejas de identificación de instrumentos automatizadas?</t>
  </si>
  <si>
    <t>Seguindo as instruções do fabricante, todas as cepas ATCC recomendadas estão em uso para os cartões/bandejas de identificação nos instrumentos automatizados?</t>
  </si>
  <si>
    <t>1: se utilizan todas las cepas recomendadas; 2: se utilizan algunas de las cepas recomendadas; 3: No se utiliza ninguna de las cepas de referencia recomendadas; N / A</t>
  </si>
  <si>
    <t>7- QUALITY CONTROL - AST METHODS</t>
  </si>
  <si>
    <t>7- CONTROLE QUALITE - METHODES DE TSA</t>
  </si>
  <si>
    <t>7- CONTROL DE CALIDAD - MÉTODOS DE PSA</t>
  </si>
  <si>
    <t>7-CONTROLE DE QUALIDADE - MÉTODOS DE TSA</t>
  </si>
  <si>
    <t>SOUCHE DE REFERENCE POUR LE TSA EN ROUTINE</t>
  </si>
  <si>
    <t xml:space="preserve">CEPAS DE REFERÊNCIA PARA TSA DE ROTINA </t>
  </si>
  <si>
    <t>Does the lab have the following ATCC reference strains in stock? (CIP equivalents are also shown)</t>
  </si>
  <si>
    <t>Le laboratoire dispose-t-il des souches de référence ATCC suivantes? (Les équivalents CIP sont également indiqués)</t>
  </si>
  <si>
    <t>¿Tiene el laboratorio las siguientes cepas de referencia ATCC en stock? (También se muestran los CIP equivalentes)</t>
  </si>
  <si>
    <t>O laboratório possui as seguintes cepas de referência ATCC em estoque? (CIP equivalentes são também válidos)</t>
  </si>
  <si>
    <t>Staphylococcus aureus ATCC 25923/CIP 76.25 (If CLSI standard used)</t>
  </si>
  <si>
    <t>Staphylococcus aureus ATCC 25923 / CIP 76.25 (Si la norme CLSI est utilisée)</t>
  </si>
  <si>
    <t>Staphylococcus aureus ATCC 25923 / CIP 76.25 (si se usa el estándar CLSI)</t>
  </si>
  <si>
    <t>Staphylococcus aureus ATCC 25923 / CIP 76.25 (se CLSI é a norma utilizada)</t>
  </si>
  <si>
    <t>Staphylococcus aureus ATCC 29213/CIP 103429 (If EUCAST standard used)</t>
  </si>
  <si>
    <t>Staphylococcus aureus ATCC 29213 / CIP 103429 (Si norme EUCAST utilisée)</t>
  </si>
  <si>
    <t>Staphylococcus aureus ATCC 29213 / CIP 103429 (si se utiliza el estándar EUCAST)</t>
  </si>
  <si>
    <t>Staphylococcus aureus ATCC 29213 / CIP 103429 (Se EUCAST é a norma utilizada)</t>
  </si>
  <si>
    <t>Enterococcus faecalis ATCC 29212/CIP 103214 (to assess suitability of MHA for trimethoprim-sulfonamide tests)</t>
  </si>
  <si>
    <t>Enterococcus faecalis ATCC 29212 / CIP 103214 (evaluation de l'adéquation du MHA pour tester le triméthoprime-sulfonamide)</t>
  </si>
  <si>
    <t>Enterococcus faecalis ATCC 29212 / CIP 103214 (para evaluar la idoneidad de MHA para las pruebas de trimetoprim-sulfonamida)</t>
  </si>
  <si>
    <t>Enterococcus faecalis ATCC 29212 / CIP 103214 (para avaliar a adequação de MH para as provas de trimetoprim-sulfonamida)</t>
  </si>
  <si>
    <t>Streptococcus pneumoniae ATCC 49619</t>
  </si>
  <si>
    <t>E. coli ATCC 25922/CIP 76.24</t>
  </si>
  <si>
    <t>E. coli ATCC 25922 / CIP 76.24</t>
  </si>
  <si>
    <t>Pseudomonas aeruginosa ATCC 27853/CIP 76.110</t>
  </si>
  <si>
    <t>Pseudomonas aeruginosa ATCC 27853 / CIP 76.110</t>
  </si>
  <si>
    <t>Are reference strains stored as follows?</t>
  </si>
  <si>
    <t>Les souches de référence sont-elles stockées comme suit?</t>
  </si>
  <si>
    <t>¿Cómo se almacenan las cepas de referencia:?</t>
  </si>
  <si>
    <t>Como se armazenam as cepas de referência?</t>
  </si>
  <si>
    <t>Reference cultures (lyophilized state, from the manufacturer) maintained at &lt;-20°C</t>
  </si>
  <si>
    <t>Cultures de référence (état lyophilisé, du fabricant) maintenues à &lt;-20 ° C</t>
  </si>
  <si>
    <t>Cepas de referencia (estado liofilizado, del fabricante) mantenidas a &lt;-20 ° C</t>
  </si>
  <si>
    <t>Culturas de referência (estado liofilizado, a partir do fabricante) mantidas a &lt;-20 ° C</t>
  </si>
  <si>
    <t>Reference stock cultures (broth preparations of reference cultures) maintained at &lt;-20°C in a suitable stabilizer (10% -15% glycerol in tryptic soy broth, 50% fetal calf serum in broth, defibrinated sheep blood, or skim milk)</t>
  </si>
  <si>
    <t>Cultures mères de référence (préparations de bouillon de cultures de référence) maintenues à &lt;-20 ° C dans un stabilisant approprié (glycérol à 10% à 15% dans un bouillon de soja tryptique, sérum à 50% de veau foetal dans un bouillon, du sang de mouton défibriné ou du lait écrémé)</t>
  </si>
  <si>
    <t>Stocks de referencia o cepas de reserva  (preparaciones de caldo de cultivos de referencia) mantenidas a &lt;-20 ° C en un estabilizador adecuado (10% -15% de glicerol en caldo de soja tríptico, suero fetal bovino al 50% en caldo, sangre desfibrinada de oveja o leche descremada)</t>
  </si>
  <si>
    <t>Culturas de referência ou cultura de reserva em estoque (preparações em caldo de culturas de referência) mantidas a &lt;-20 ° C em um estabilizador adequado (10% -15% de glicerol em caldo de soja tríptica, soro fetal bovino a 50% em caldo, sangue de carneiro desfibrinado, ou leite desnatado)</t>
  </si>
  <si>
    <t>Monthly working stock culture, or "F1", stored at 2-8°C for up to 4 weeks, then discarded</t>
  </si>
  <si>
    <t>Culture mensuelle de la  souche de travail ou "F1", stockée à 2-8 ° C pendant 4 semaines maximum, puis éliminée</t>
  </si>
  <si>
    <t>Cepas de trabajo mensuales, o "F1", almacenadas a 2-8 ° C hasta un máximo de 4 semanas y luego desechadas</t>
  </si>
  <si>
    <t>Cultura de trabalho mensal, ou "F1", armazenado a 2-8 ° C durante até 4 semanas, em seguida, descartadas</t>
  </si>
  <si>
    <t>Weekly working stock culture, or “F2”, stored at 2-8°C for up to 1 week, then discarded</t>
  </si>
  <si>
    <t>Culture hebdomadaire de  la souche de travail, ou «F2», conservée à une température allant de 2 à 8 ° C pendant 1 semaine maximum, puis éliminée</t>
  </si>
  <si>
    <t>Cepas de trabajo semanales, o "F2", almacenadas a 2-8 ° C hasta un máximo de 1 semana y luego desechadas</t>
  </si>
  <si>
    <t>Cultura de trabalho semanal, ou "F2", armazenado a 2-8 ° C durante até 1 semana, em seguida, descartadas</t>
  </si>
  <si>
    <t>Daily subculture, or “F3”, discarded after one day of use.</t>
  </si>
  <si>
    <t>Repiquage quotidien, ou «F3», éliminé après une journée d'utilisation.</t>
  </si>
  <si>
    <t>Subcultivo diario, o "F3", desechado después de un día de uso.</t>
  </si>
  <si>
    <t>Subcultura diária, ou “F3”, descartada após um dia de uso.</t>
  </si>
  <si>
    <t>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t>
  </si>
  <si>
    <t>Norme: SANAS TG 28-02: 7.2.2 Une culture de référence est une préparation de microorganisme obtenue à partir d'une collection de type de culture telle que ATCC. Une culture de souche de référence est une préparation de microorganisme dérivée d'une culture de référence. Une culture de souche de travail est une croissance dérivée d'une culture de souche de référence. Une sous-culture est le transfert de la croissance de micro-organismes  sur un milieu vers un milieu frais.</t>
  </si>
  <si>
    <t>Estándar: SANAS TG 28-02: 7.2.2 Una cepa de referencia es una preparación cuyos microorganismos se obtienen a partir de una colección de cultivos tipo como ATCC. Un stock de de referencia o cepa de reserva es una preparación de microorganismos derivada de una cepa de referencia. Una cepa de trabajo es un subcultivo obtenido a partir de una cepa de reserva. Un subcultivo es la transferencia de microorganismos ya crecidos y establecidos en un medio a un medio fresco.</t>
  </si>
  <si>
    <t>Norma: SANAS TG 28-02: 7.2.2 Uma cultura de referência é uma preparação de microrganismos que é obtida a partir de uma coleção de culturas, como ATCC. Cultura de referência de reserva em estoque é uma preparação de microrganismos derivada de uma cultura de referência. Uma cultura de trabalho é de crescimento derivado de uma cultura de reserva. Uma subcultura é a transferência de microrganismos já crescidos e estabelecidos em um meio para meio novo.</t>
  </si>
  <si>
    <t>SOUCHES DE RÉFÉRENCE POUR LES TSA SPÉCIAUX</t>
  </si>
  <si>
    <t xml:space="preserve">CEPAS DE REFERÊNCIA PARA TSA ESPECIAIS </t>
  </si>
  <si>
    <t>Does the lab have the following reference strains in stock? (CIP equivalents are also shown)</t>
  </si>
  <si>
    <t>Le laboratoire a-t-il les souches de référence suivantes en stock? (Les équivalents CIP sont également indiqués)</t>
  </si>
  <si>
    <t>¿Tiene el laboratorio en stock las siguientes cepas de referencia? (También se muestran los CIP equivalentes)</t>
  </si>
  <si>
    <t>O laboratório tem as seguintes cepas de referência em estoque? (CIP equivalentes são também mostrados)</t>
  </si>
  <si>
    <t>Staphylococcus aureus ATCC 43300 (mecA-positive, MRSA)</t>
  </si>
  <si>
    <t>Staphylococcus aureus ATCC 43300 (mecA positif, SARM)</t>
  </si>
  <si>
    <t>Staphylococcus aureus ATCC 43300 (mecA positivo, SARM)</t>
  </si>
  <si>
    <t>Staphylococcus aureus ATCC 43300 (mecA positivo, MRSA)</t>
  </si>
  <si>
    <t>Staphylococcus aureus ATCC BAA-976 (msrA-positive, Dzone negative)</t>
  </si>
  <si>
    <t>Staphylococcus aureus ATCC BAA-976 (msrA positif, Dzone négatif)</t>
  </si>
  <si>
    <t>Staphylococcus aureus ATCC BAA-976 (msrA positivo, zona-D negativa)</t>
  </si>
  <si>
    <t>Staphylococcus aureus ATCC BAA-977 (ermA-positive, Dzone positive)</t>
  </si>
  <si>
    <t>Staphylococcus aureus ATCC BAA-977 (positif pour ermA, positif pour Dzone)</t>
  </si>
  <si>
    <t>Staphylococcus aureus ATCC BAA-977 (ermA positivo, zona-D positiva)</t>
  </si>
  <si>
    <t>Enterococcus faecalis ATCC 51299/CIP 104676 (vanB-positive, VRE)</t>
  </si>
  <si>
    <t>Enterococcus faecalis ATCC 51299 / CIP 104676 (vanB positif, VRE)</t>
  </si>
  <si>
    <t>Enterococcus faecalis ATCC 51299 / CIP 104676 (vanB positivo, ERV)</t>
  </si>
  <si>
    <t>E.coli ATCC 13353 (CTX-M-15 ESBL-positive)</t>
  </si>
  <si>
    <t>E. coli ATCC 13353 (CTBL-M-15 BLSE positif)</t>
  </si>
  <si>
    <t>E. coli ATCC 13353 (CTX-M-15 BLEE positivo)</t>
  </si>
  <si>
    <t>E.coli ATCC 35218 (TEM-1 positive)</t>
  </si>
  <si>
    <t>E. coli ATCC 35218 (TEM-1 positif)</t>
  </si>
  <si>
    <t>E. coli ATCC 35218 (TEM-1 positivo)</t>
  </si>
  <si>
    <t>Klebsiella pneumoniae ATCC 700603 (SHV-18, OXA-2) ESBL test QC</t>
  </si>
  <si>
    <t>Klebsiella pneumoniae ATCC 700603 (CQV), test ESBL</t>
  </si>
  <si>
    <t>Klebsiella pneumoniae ATCC 700603 (SHV-18, OXA-2) para CC de prueba de BLEE</t>
  </si>
  <si>
    <t xml:space="preserve">Klebsiella pneumoniae ATCC 700603 (SHV-18, OXA-2) para CQ do teste ESBL </t>
  </si>
  <si>
    <t>Klebsiella pneumoniae ATCC BAA-1705 (TEM, SHV, KPC-2) carbapenemase test QC</t>
  </si>
  <si>
    <t xml:space="preserve">Klebsiella pneumoniae ATCC BAA-1705 (TEM, SHV, KPC-2) CQ du test de la carbapénémase </t>
  </si>
  <si>
    <t>Klebsiella pneumoniae ATCC BAA-1705 (TEM, SHV, KPC-2) para CC de prueba de carbapenemasas</t>
  </si>
  <si>
    <t xml:space="preserve">Klebsiella pneumoniae ATCC BAA-1705 (TEM, SHV, KPC-2) para o teste de CQ da Carbapenemases </t>
  </si>
  <si>
    <t>Klebsiella pneumoniae ATCC BAA-1706 (Resistant to carbapenems by non-carbapenemase method)</t>
  </si>
  <si>
    <t>Klebsiella pneumoniae ATCC BAA-1706 (résistant aux carbapénèmes par la méthode sans carbapénémase)</t>
  </si>
  <si>
    <t>Klebsiella pneumoniae ATCC BAA-1706 (resistente a los carbapenémicos por el método sin carbapenemasas)</t>
  </si>
  <si>
    <t>Klebsiella pneumoniae ATCC BAA-1706 (resistentes a carbapêmicos pelo método não Carbapenemases)</t>
  </si>
  <si>
    <t>Some QC strains with plasmid-mediated resistance have been shown to lose the plasmid when stored at temperatures above -60°C</t>
  </si>
  <si>
    <t>Il a été démontré que certaines souches de CQ présentant une résistance à un plasmide perdaient ce plasmide lorsqu'elles étaient stockées à des températures supérieures à -60 ° C.</t>
  </si>
  <si>
    <t>Se ha demostrado que algunas cepas para CC con resistencia mediada por plásmidos pierden el plásmido cuando se almacenan a temperaturas superiores a -60 ° C</t>
  </si>
  <si>
    <t>Algumas cepas para CQ com resistência mediada por plasmídeo demonstraram perder o plasmídeo quando armazenadas a temperaturas acima de -60 ° C</t>
  </si>
  <si>
    <t>Are these special AST reference strains maintained at &lt;-60°C?</t>
  </si>
  <si>
    <t>Ces souches de référence pour les TSA spéciaux sont-elles maintenues à &lt;-60 ° C?</t>
  </si>
  <si>
    <t>¿Se mantienen estas cepas de referencia para PSA  especiales a &lt;-60 ° C?</t>
  </si>
  <si>
    <t>Estas cepas de referência especiais para TSA estão mantidas a &lt;-60 ° C?</t>
  </si>
  <si>
    <t xml:space="preserve">CQ DU TSA POUR LES METHODES DE DIFFUSION EN DISQUE </t>
  </si>
  <si>
    <t xml:space="preserve">Does the lab perform the disk diffusion method of AST? </t>
  </si>
  <si>
    <t>Le laboratoire utilise-t-il la méthode de diffusion en disque pour le TSA?</t>
  </si>
  <si>
    <t>¿El laboratorio realiza la técnica de difusión con discos?</t>
  </si>
  <si>
    <t xml:space="preserve">O laboratório realiza o método de disco-difusão para TSA?  </t>
  </si>
  <si>
    <t>If no, answer NA until 7.31</t>
  </si>
  <si>
    <t>Si non, répondez NA jusqu'à 7.31</t>
  </si>
  <si>
    <t>Si no, responda NA hasta 7.31</t>
  </si>
  <si>
    <t>Se não, responder NA até 7.31</t>
  </si>
  <si>
    <t>Is antibiotic disk QC performed before placing newly received lot numbers/shipments into use? (Review QC records to confirm)</t>
  </si>
  <si>
    <t>Le contrôle de qualité des disques d'antibiotiques est-il effectué avant de mettre en service les nouveaux lots / arrivage reçus? (Vérifiez les enregistrements de CQ pour confirmer)</t>
  </si>
  <si>
    <t>¿Se realiza el CC del disco con antibiótico antes de utilizar los nuevos números de lote / pedidos? (Revise los registros de CC para confirmar)</t>
  </si>
  <si>
    <t>O CQ dos discos de antibióticos é realizado antes de utilizar novos números de lote/pedidos? (Revise os registros de QC para confirmar)</t>
  </si>
  <si>
    <t xml:space="preserve">CLSI and EUCAST require that all antibiotic QC is performed each day of patient testing, not only when a new lot number is received. </t>
  </si>
  <si>
    <t>Le CLSI et l'EUCAST exigent que tous les CQ antibiotiques soient réalisés chaque jour où sont effectués des tests sur les patients, et pas seulement lorsqu'un nouveau numéro de lot est reçu.</t>
  </si>
  <si>
    <t>CLSI y EUCAST requieren que todo el CC de los antibióticos se realice cada día que se hagan pruebas en muestras de pacientes, no solo cuando se recibe un nuevo número de lote.</t>
  </si>
  <si>
    <t xml:space="preserve">CLSI e EUCAST exigem que o QC dos antibióticos seja realizado cada dia que se façam testes em amostras de paciente, não só quando um novo número de lote é recebido. </t>
  </si>
  <si>
    <t>Labs that wish to reduce the frequency of antibiotic QC from daily to weekly may do so after demonstrating satisfactory performance with daily QC using one of two plans described in CLSI M02, section 4.7. Either the 20-30 day plan, or the 15-replicate plan.</t>
  </si>
  <si>
    <t>Les laboratoires souhaitant réduire la fréquence du contrôle de la qualité des antibiotiques de quotidienne à une fois par semaine peuvent le faire après avoir démontré une performance satisfaisante du contrôle quotidien en utilisant l'un des deux plans décrits dans la section 4.7 du CLSI M02. Soit le plan sur 20-30 jours, soit le plan avec 15 répétitions.</t>
  </si>
  <si>
    <t>Los laboratorios que deseen reducir de diaria a semanal la frecuencia del CC de los antibióticos pueden hacerlo después de haber demostrado un rendimiento satisfactorio con el CC diario utilizando uno de los dos planes descritos en CLSI M02, sección 4.7. Ya sea el plan de 20-30 días o el plan de 15 réplicas.</t>
  </si>
  <si>
    <t>Laboratórios que desejem reduzir a frequência de CQ do antibiótico de diária a semanal pode fazê-lo depois de demonstrar um desempenho satisfatório com CQ diário usando um dos dois planos descritos no CLSI M02, seção 4.7. Seja o plano de 20-30 dias, ou o plano de 15 réplicas.</t>
  </si>
  <si>
    <t>Is there documentation showing that the lab has successfully completed either the 20-30 day plan or the 15-replicate (3- x 5-day) plan for all antibiotic disks in use? (Request to see)</t>
  </si>
  <si>
    <t>Existe-t-il des documents montrant que le laboratoire a terminé avec succès le plan sur 20-30 jours ou le plan avec 15 répétitions (3 x 5 jours) pour tous les disques d'antibiotiques utilisés? (Demandez à voir)</t>
  </si>
  <si>
    <t>¿Existe documentación que demuestre que el laboratorio ha completado con éxito el plan de 20-30 días o el plan de 15 repeticiones (3- x 5 días) para todos los discos con antibióticos en uso? (Solicitar ver)</t>
  </si>
  <si>
    <t>Existe documentação que demonstre que o laboratório concluiu com êxito o plano de 20-30 dias ou o plano de 15 réplicas (3 x 5 dias) para todos os discos de antibióticos em uso? (Pedir para verificar)</t>
  </si>
  <si>
    <t>Not including new lot QC, how often is antibiotic disk QC performed? (Confirm by reviewing QC records; go back several months)</t>
  </si>
  <si>
    <t>Hormis le contrôle d'un nouveau lot, quelle est la fréquence de contrôle des disques antibiotiques? (Confirmez en examinant les rapports de CQ; remontez plusieurs mois en arrière)</t>
  </si>
  <si>
    <t>Sin incluir el CC de un nuevo lote, ¿con qué frecuencia se realiza el CC del disco con antibiótico? (Confirme revisando los registros de CC; retroceda varios meses)</t>
  </si>
  <si>
    <t>Não incluindo um novo lote de CQ, com que frequência o CQ de discos com antibióticos é realizado?  (Confirmar revendo registros de CQ; retroceder vários meses)</t>
  </si>
  <si>
    <t>1: Each day that disk AST is performed on patients – 2: Weekly – 3: Every other week – 4: Monthly - 5: Other (describe in comments) – NA: disk method not used</t>
  </si>
  <si>
    <t>1: Chaque jour où des TSA en diffusion sont réalisés pour des échantillons de patients - 2: Hebdomadaire - 3: Toutes les deux semaines - 4: Mensuel - 5: Autre (décrire dans les commentaires) - NA: la méthode en difusion n'est pas utilisée</t>
  </si>
  <si>
    <t>1: Cada día que se realizan PSA con discos en muestras de pacientes - 2: Semanal - 3: Semanas alternas - 4: Mensual - 5: Otro (describir en comentarios) - NA: no se utiliza el método de disco</t>
  </si>
  <si>
    <t xml:space="preserve">1: Cada dia que se realizam TSA com discos em amostras de pacientes - 2: Semanal - 3: Quinzenal - 4: Mensal - 5: Outro (descrever nos comentários) - NA: Não se utiliza método em disco </t>
  </si>
  <si>
    <t>Is antibiotic disk QC performed using the recommended ATCC reference strains below? (Review QC records to confirm)</t>
  </si>
  <si>
    <t>Le contrôle qualité des disques d'antibiotiques est-il effectué en utilisant les souches de référence ATCC recommandées ci-dessous? (Vérifiez les rapports de CQ pour confirmer)</t>
  </si>
  <si>
    <t>¿Se realiza el CC del disco con antibiótico utilizando las cepas de referencia ATCC recomendadas a continuación? (Revise los registros de CC para confirmar)</t>
  </si>
  <si>
    <t>O CQ dos discos com antibióticos é realizado utilizando as cepas de referência ATCC recomendados abaixo? (Registros de revisão de QC para confirmar)</t>
  </si>
  <si>
    <t>Staphylococcus aureus ATCC 25923 / CIP 76.25  (Se é norma utilizada é o CLSI )</t>
  </si>
  <si>
    <t>Staphylococcus aureus ATCC 29213 / CIP 103429 (Se é norma utilizada é o EUCAST)</t>
  </si>
  <si>
    <t>Pseudomonas aeruginosa ATCC 27853//CIP 76.110</t>
  </si>
  <si>
    <t>Pseudomonas aeruginosa ATCC 27853 // CPE 76.110</t>
  </si>
  <si>
    <t>Pseudomonas aeruginosa ATCC 27853 // CIP 76.110</t>
  </si>
  <si>
    <t>Pseudomonas aeruginosa ATCC 27853 // CIP 76,110</t>
  </si>
  <si>
    <t xml:space="preserve">CQ DES MÉTHODES DE TSA AVEC BANDELETTES GRADUEES </t>
  </si>
  <si>
    <t xml:space="preserve">CQ DE MÉTODOS DE TSA COM TIRAS DE GRADIENTE </t>
  </si>
  <si>
    <t>Does the lab use the gradient strip method of AST (Etest/Liofilechem)? (ungraded)</t>
  </si>
  <si>
    <t>Le laboratoire utilise-t-il la méthode de la bandelettes graduées pour le TSA (Etest / Liofilechem)? (non noté)</t>
  </si>
  <si>
    <t>¿Utiliza el laboratorio la PSA de tira de gradiente (Etest / Liofilechem)? (sin clasificar)</t>
  </si>
  <si>
    <t>O laboratório utiliza o método de tira gradiente para TSA (Etest / Liofilchem)? (Não pontuados)</t>
  </si>
  <si>
    <t>If no, answer NA until 7.40</t>
  </si>
  <si>
    <t>Si non, répondez NA jusqu'à 7.40</t>
  </si>
  <si>
    <t>Si no, responda NA hasta la 7.40</t>
  </si>
  <si>
    <t>Se não, responder NA até 7.40</t>
  </si>
  <si>
    <t>Is gradient strip QC performed before placing new lot numbers/shipments into use? (Review QC records to confirm)</t>
  </si>
  <si>
    <t>Est-ce que le CQ des bandelettes graduées est effectué avant de mettre en service les nouveaux numéros de lot / arrivage (Vérifiez les enregistrements de CQ pour confirmer)</t>
  </si>
  <si>
    <t>¿Se realiza el CC de la tira de gradiente antes de utilizar los nuevos números de lote / pedidos? (Revise los registros de CC para confirmar)</t>
  </si>
  <si>
    <t>O CQ das tiras de gradiente é realizado antes de utilizar novos números de lote/pedidos? (Revise os registros de QC para confirmar)</t>
  </si>
  <si>
    <t>Is there documentation showing that the lab has successfully completed either the 20-30 day plan or the 15-replicate (3- x 5-day) plan for all antibiotic strips in use? (Request to see)</t>
  </si>
  <si>
    <t>Existe-t-il des documents montrant que le laboratoire a terminé avec succès le plan sur 20-30 jours ou le plan avec 15 répétitions (3 x 5 jours) pour toutes les bandelettes d'antibiotiques utilisées? (Demandez à voir)</t>
  </si>
  <si>
    <t>¿Existe documentación que demuestre que el laboratorio ha completado con éxito el plan de 20-30 días o el plan de 15 repeticiones (3- x 5 días) para todas las tiras de antibióticos en uso? (Solicitar ver)</t>
  </si>
  <si>
    <t>Existe documentação que demonstre que o laboratório concluiu com êxito o plano de 20-30 dias ou o plano de 15 réplicas (3 x 5 dias) para todos as tiras de antibióticos em uso? (Pedir para verificar)</t>
  </si>
  <si>
    <t>Not including new lot QC, how often is antibiotic strip QC performed? (Confirm by reviewing QC records; go back several months)</t>
  </si>
  <si>
    <t>Hormis le contrôle des nouveaux lot, à quelle fréquence le contrôle qualité des bandelette graduées est-il effectué? (Confirmez en examinant les rapports de CQ; remontez plusieurs mois en arrière)</t>
  </si>
  <si>
    <t>Sin incluir el nuevo CC de un nuevo lote, ¿con qué frecuencia se realiza el CC de la tira antibiótica? (Confirme revisando los registros de CC; retroceda varios meses)</t>
  </si>
  <si>
    <t>Não incluindo um novo lote de CQ, com que frequência o CQ de tiras de antibióticos é realizado?  (Confirmar revendo registros de CQ; retroceder vários meses)</t>
  </si>
  <si>
    <t>1: Each day that strip AST is performed on patients – 2: Weekly – 3: Every other week – 4: Monthly - 5: Other (describe in comments) – NA: strip method not used</t>
  </si>
  <si>
    <t>1: Chaque jour où des TSA par bandelette graduée sont réalisés pour des échantillons de patients - 2: Hebdomadaire - 3: Toutes les deux semaines - 4: Mensuel - 5: Autre (décrire dans les commentaires) - NA: la méthode des bandelettes graduées n'est pas utilisée</t>
  </si>
  <si>
    <t>1: Cada día que se realiza una PSA de tira en muestras de pacientes - 2: Semanal - 3: Semanas alternas - 4: Mensual - 5: Otro (describir en comentarios) - NA: no se utiliza el método de tira</t>
  </si>
  <si>
    <t>1: Cada dia que se realizam TSA com tiras em amostras de pacientes - 2: Semanal - 3: Quinzenal - 4: Mensal - 5: Outro (descrever nos comentários) - NA: Não se utiliza método em tiras</t>
  </si>
  <si>
    <t>Is antibiotic strip QC performed using the recommended ATCC reference strains below? (Review QC records to confirm)</t>
  </si>
  <si>
    <t>Le CQ des TSA par bandelettes graduées est-il effectué avec les souches de référence ATCC recommandées ci-dessous? (Vérifiez les enregistrements de CQ pour confirmer)</t>
  </si>
  <si>
    <t>¿Se realiza el CC de la tira antibiótica usando las cepas de referencia ATCC recomendadas a continuación? (Revise los registros de CC para confirmar)</t>
  </si>
  <si>
    <t>O CQ de tiras com antibióticos é realizado utilizando as cepas de referência ATCC recomendados abaixo? (Registros de revisão de QC para confirmar)</t>
  </si>
  <si>
    <t>Staphylococcus aureus ATCC 25923 / CIP 76.25 (Se a norma  utilizada é o CLSI)</t>
  </si>
  <si>
    <t>Staphylococcus aureus ATCC 29213 / CIP 103429 (Se a norma utilizada é o EUCAST)</t>
  </si>
  <si>
    <t>CQ DE SYSTÈMES DE TSA AUTOMATISÉS</t>
  </si>
  <si>
    <t xml:space="preserve">CQ DE SISTEMAS AUTOMATIZADOS DE TSA </t>
  </si>
  <si>
    <t>Does the lab use an automated instrument for AST? (e.g., Vitek, Phoenix, Microscan, etc)</t>
  </si>
  <si>
    <t>Le laboratoire utilise-t-il un iautomate pour effectuer le TSA? (par exemple, Vitek, Phoenix, Microscan, etc.)</t>
  </si>
  <si>
    <r>
      <t>¿Utiliza el laboratorio un instrumento automatizad</t>
    </r>
    <r>
      <rPr>
        <sz val="10"/>
        <rFont val="Calibri"/>
        <family val="2"/>
        <scheme val="minor"/>
      </rPr>
      <t>o de PSA</t>
    </r>
    <r>
      <rPr>
        <sz val="10"/>
        <color rgb="FF000000"/>
        <rFont val="Calibri"/>
        <family val="2"/>
        <scheme val="minor"/>
      </rPr>
      <t>? (Ej., Vitek, Phoenix, Microscan, etc.)</t>
    </r>
  </si>
  <si>
    <t>O laboratório utiliza um instrumento automatizado para TSA? (Ex, Vitek, Phoenix, Microscan, etc.)</t>
  </si>
  <si>
    <t>if No, answer NA until the end</t>
  </si>
  <si>
    <t>Si non, répondez NA jusqu'à la fin</t>
  </si>
  <si>
    <t>en caso negativo, responda NA hasta el final</t>
  </si>
  <si>
    <t>Se não, responder NA até o fim</t>
  </si>
  <si>
    <t>Are the antibiotic cards/trays stored at the manufacturer-recommended temperatures?</t>
  </si>
  <si>
    <t>Les cartes / plaques d'antibiotiques sont-ils stockés aux températures recommandées par le fabricant?</t>
  </si>
  <si>
    <t>¿Se almacenan las tarjetas / bandejas de antibióticos a las temperaturas recomendadas por el fabricante?</t>
  </si>
  <si>
    <t>Os cartões/bandejas de antibióticos são armazenados nas temperaturas recomendadas pelo fabricante?</t>
  </si>
  <si>
    <t>Is QC of the antibiotic cards/trays performed before placing new lot numbers/shipments into use? (Review QC records to confirm)</t>
  </si>
  <si>
    <t>Le contrôle de qualité des cartes / plaques d'antibiotiques est-il effectué avant de mettre en service de nouveaux numéros de lot / arrivage (Vérifiez les rapports de CQ pour confirmer)</t>
  </si>
  <si>
    <t>¿Se realiza el CC de las tarjetas / bandejas de antibióticos antes de utilizar nuevos números de lote / pedidos? (Revise los registros de CC para confirmar)</t>
  </si>
  <si>
    <t>O CQ dos  cartões/bandejas de antibióticos é realizado antes de utilizar novos números de lote/pedidos? (Revise os registros de QC para confirmar)</t>
  </si>
  <si>
    <t>Is there documentation showing that the lab has successfully completed either the 20-30 day plan or the 15-replicate (3- x 5-day) plan for all antibiotic cards/trays in use? (Request to see)</t>
  </si>
  <si>
    <t>Existe-t-il des documents montrant que le laboratoire a terminé avec succès le plan sur 20-30 jours ou le plan avec 15 réplicats (3 x 5 jours) pour toutes les cartes / plaques d'antibiotiques utilisés? (Demandez à voir)</t>
  </si>
  <si>
    <t>¿Existe documentación que demuestre que el laboratorio ha completado con éxito el plan de 20-30 días o el plan de 15 réplicas (3 x 5 días) para todas las tarjetas / bandejas de antibióticos en uso?  (Solicitar ver)</t>
  </si>
  <si>
    <t>Existe documentação que demonstre que o laboratório concluiu com êxito o plano de 20-30 dias ou o plano de 15 réplicas (3 x 5 dias) para todos  cartões/bandejas de antibióticos em uso? (Pedir para verificar)</t>
  </si>
  <si>
    <t>Not including new lot QC, how often is antibiotic card/tray QC performed? (Confirm by reviewing QC records; go back several months)</t>
  </si>
  <si>
    <t>Hormis le contrôle qualité des nouveaux lots, à quelle fréquence le contrôle de la qualité des cartes / plaques d'antibiotiques est-il effectué? (Confirmez en examinant les rapports de CQ; remontez plusieurs mois en arrière)</t>
  </si>
  <si>
    <t>Sin incluir el CC de un nuevo lote, ¿con qué frecuencia se realiza el CC de la tarjeta / bandeja de antibióticos? (Confirme revisando los registros de CC; retroceda varios meses)</t>
  </si>
  <si>
    <t>Não incluindo um novo lote de CQ, com que frequência o CQ  dos cartões/bandejas de antibióticos é realizado?  (Confirmar revendo registros de CQ; retroceder vários meses)</t>
  </si>
  <si>
    <t>1: Each day that automated AST is performed on patients – 2: Weekly – 3: Every other week – 4: Monthly - 5: Other (describe in comments) – NA: automated method not used</t>
  </si>
  <si>
    <t>1: Chaque jour où des TSA automatiséssont effectués pour des échantillons de patients - 2: Hebdomadaire - 3: Toutes les deux semaines - 4: Mensuel - 5: Autre (décrire dans les commentaires) - NA: Aucune méthode automatisée n'est utilisée</t>
  </si>
  <si>
    <t>1: Cada día que se realiza la PSA automatizada con muestras de pacientes - 2: Semanal - 3: Semanas alternas - 4: Mensual - 5: Otro (describir en comentarios) - NA: no se utiliza un método automatizado</t>
  </si>
  <si>
    <t>1: Cada dia que se realizam TSA automatizado em amostras de pacientes - 2: Semanal - 3: Quinzenal - 4: Mensal - 5: Outro (descrever nos comentários) - NA: Não se utiliza método automatizado</t>
  </si>
  <si>
    <t>Is QC of automated AST systems performed using the recommended ATCC reference strains below? (Review QC records to confirm)</t>
  </si>
  <si>
    <t>Le contrôle de qualité des systèmes de TSA automatisés est-il effectué à l'aide des souches de référence ATCC recommandées ci-dessous? (Vérifiez les enregistrements de CQ pour confirmer)</t>
  </si>
  <si>
    <r>
      <t xml:space="preserve">¿Se realiza el CC de los sistemas automatizados </t>
    </r>
    <r>
      <rPr>
        <sz val="10"/>
        <rFont val="Calibri"/>
        <family val="2"/>
        <scheme val="minor"/>
      </rPr>
      <t xml:space="preserve">de PSA </t>
    </r>
    <r>
      <rPr>
        <sz val="10"/>
        <color rgb="FF000000"/>
        <rFont val="Calibri"/>
        <family val="2"/>
        <scheme val="minor"/>
      </rPr>
      <t>utilizando las cepas de referencia ATCC recomendadas a continuación? (Revise los registros de CC para confirmar)</t>
    </r>
  </si>
  <si>
    <t>O CQ dos sistemas automatizados é realizado utilizando as cepas de referência ATCC recomendados abaixo? (Registros de revisão de QC para confirmar)</t>
  </si>
  <si>
    <t>Staphylococcus aureus ATCC 25923 / CIP 76.25 (Se norma utilizada é o CLSI )</t>
  </si>
  <si>
    <t>Staphylococcus aureus ATCC 29213 / CIP 103429 (Se norma  utilizada é o EUCAST)</t>
  </si>
  <si>
    <t>Please note: all questions refer only to clinical patient specimens, NOT to research  or environmental specimens</t>
  </si>
  <si>
    <t>Remarque: toutes les questions concernent uniquement les échantillons de patients cliniques, PAS les échantillons de recherche ou environnementaux.</t>
  </si>
  <si>
    <t>Nota: tenga en cuenta que todas las preguntas se refieren solo a muestras clínicas de pacientes, NO a muestras de investigación o ambientales</t>
  </si>
  <si>
    <t>Atenção: todas as questões referem-se apenas a amostras clínicas de pacientes, NÃO a amostras de investigação ou amostras ambientais</t>
  </si>
  <si>
    <t>Does lab policy require that all specimens are accompanied by a laboratory-approved test requisition form?</t>
  </si>
  <si>
    <t>La politique du laboratoire exige-t-elle que tous les échantillons soient accompagnés d'un formulaire de demande d'analyse approuvé par le laboratoire?</t>
  </si>
  <si>
    <t>¿Requiere la política de laboratorio que todas las muestras estén acompañadas de un formulario de solicitud de pruebas aprobado por laboratorio?</t>
  </si>
  <si>
    <t>A política do laboratório exige que todas as amostras estejam acompanhados por um formulário de solicitação de testes aprovado pelo laboratório?</t>
  </si>
  <si>
    <t>Does the lab enforce a two-identifier system? (e.g., both patient name and a numeric identifier must be present on the requisition and on the specimen).</t>
  </si>
  <si>
    <t>Le laboratoire applique-t-il un système à deux identifiants? (Par exemple, le nom du patient et un identifiant numérique doivent figurer sur la demande et sur le échantillon)</t>
  </si>
  <si>
    <t>¿Aplica el laboratorio un sistema de doble identificador? (Ej., deben estar presentes tanto el nombre del paciente como un identificador numérico en el formulario y en la muestra).</t>
  </si>
  <si>
    <t>O laboratório possui um sistema de dupla identificação? (Ex. tanto o nome do paciente como um identificador numérico devem estar presentes no formulário e na amostra).</t>
  </si>
  <si>
    <t>Are sensitive specimens processed within one hour of reaching the laboratory?</t>
  </si>
  <si>
    <t>Les échantillons sensibles sont-ils traités moins d’une heure après avoir atteint le laboratoire?</t>
  </si>
  <si>
    <t>¿Se procesan las muestras sensibles en menos de una hora trás haber llegado al laboratorio?</t>
  </si>
  <si>
    <t>As amostras sensíveis são processadas ​​dentro de uma hora após chegar ao laboratório?</t>
  </si>
  <si>
    <t>When the bacteriology lab is closed, does another laboratory department process (culture) the specimens or ensure that they are stored at the proper temperatures? (Select NA if bacteriology lab does not close)</t>
  </si>
  <si>
    <t>Lorsque le laboratoire de bactériologie est fermé, un autre service de laboratoire traite-t-il (ensemence t'il) les échantillons ou s'assure-t-il qu'ils sont stockés aux températures appropriées? (Sélectionnez NA si le laboratoire de bactériologie ne ferme pas)</t>
  </si>
  <si>
    <t>Cuando el laboratorio de bacteriología está cerrado, ¿hay otro laboratorio que procese (siembre en placa) las muestras o que se asegure de que se almacenan a las temperaturas adecuadas? (Seleccione NA si el laboratorio de bacteriología no cierra)</t>
  </si>
  <si>
    <t>Quando o laboratório de bacteriologia está fechado, existe outro departamento no laboratório que processe (semeie na placa) as amostras ou  garanta que sejam armazenadas às temperaturas adequadas? (Selecione NA se laboratório de bacteriologia não fecha)</t>
  </si>
  <si>
    <t>Does the lab store specimens properly prior to and following testing?</t>
  </si>
  <si>
    <t>Le laboratoire stocke-t-il les échantillons correctement avant et après les analyses?</t>
  </si>
  <si>
    <t>¿Se almacenan correctamente las muestras en el laboratorio antes y después de las pruebas?</t>
  </si>
  <si>
    <t>O laboratório conserva as amostras corretamente antes e depois dos testes?</t>
  </si>
  <si>
    <t>Examen cyto bacteriologique des urines</t>
  </si>
  <si>
    <t>Coprocultivo</t>
  </si>
  <si>
    <t>Respiratory culture</t>
  </si>
  <si>
    <t>Culture respiratoire</t>
  </si>
  <si>
    <t>Cultivo respiratorio</t>
  </si>
  <si>
    <t>Cultura respiratória</t>
  </si>
  <si>
    <t>Culture des prélèveemnts de plaies</t>
  </si>
  <si>
    <t>Cultura de feridas</t>
  </si>
  <si>
    <t>Genital culture</t>
  </si>
  <si>
    <t>Culture des prélèvements génitaux</t>
  </si>
  <si>
    <t>Cultivo genital</t>
  </si>
  <si>
    <t>Cultura genital</t>
  </si>
  <si>
    <t>Cerebrospinal fluid culture</t>
  </si>
  <si>
    <t>Culture de fluide cérébro-spinal</t>
  </si>
  <si>
    <t>Cultivo de líquido cefalorraquídeo</t>
  </si>
  <si>
    <t>Cultura de líquido cefalorradiano</t>
  </si>
  <si>
    <t>Sterile body fluid culture (pleural, pericardial, peritoneal, synovial)</t>
  </si>
  <si>
    <t>Culture de llquides biologiques stériles (pleurale, péricardique, péritonéale, synoviale)</t>
  </si>
  <si>
    <t>Cultivo de fluidos corporales estériles (pleural, pericárdico, peritoneal, sinovial)</t>
  </si>
  <si>
    <t>Cultura de líquidos corporais estéreis (pleural, pericárdico, peritoneal, sinovial)</t>
  </si>
  <si>
    <t>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t>
  </si>
  <si>
    <t>Norme: ISO 15189: 5.4.1, 5.4.5, 5.4.7, 5.4.8, 5.4.10, 5.4.11, 5.4.13 Norme: ISO 15189: 5.2.9, 5.4.14, 5.7.3 Les échantillons doivent être conservés dans des conditions appropriées pour maintenir la stabilité de l'échantillon. Les échantillons qui ne sont plus nécessaires doivent être éliminés de manière sûre, conformément à la réglementation en matière de biosécurité</t>
  </si>
  <si>
    <t>Estándar: ISO 15189: 5.4.1, 5.4.5, 5.4.7, 5.4.8, 5.4.10, 5.4.11, 5.4.13 Estándar: ISO 15189: 5.2.9, 5.4.14, 5.7.3 Las muestras deben ser almacenadas con las condiciones adecuadas para garantizar la estabilidad de la muestra. Las muestras que ya no se requieran deben eliminarse de manera segura, de acuerdo con las normas de bioseguridad</t>
  </si>
  <si>
    <t>Norma: ISO 15189: 5.4.1, 5.4.5, 5.4.7, 5.4.8, 5.4.10, 5.4.11, 5.4.13 Norma: ISO 15189: 5.2.9, 5.4.14, 5.7.3 As amostras devem ser armazenadas sob as condições adequadas para manter a estabilidade da amostra. As amostras que já não sejam necessárias devem ser eliminadas de uma maneira segura, de acordo com os regulamentos de segurança biológica</t>
  </si>
  <si>
    <t>Are rejection criteria written down in an SOP or bench aide for each specimen type?</t>
  </si>
  <si>
    <t>Les critères de rejet sont-ils écrits dans une POS ou un aide-mémoire pour chaque type déchantillon?</t>
  </si>
  <si>
    <r>
      <t>¿Se escriben en un POE o en un documento de ayuda de poyata</t>
    </r>
    <r>
      <rPr>
        <sz val="10"/>
        <color rgb="FFFF0000"/>
        <rFont val="Calibri"/>
        <family val="2"/>
        <scheme val="minor"/>
      </rPr>
      <t xml:space="preserve"> </t>
    </r>
    <r>
      <rPr>
        <sz val="10"/>
        <color rgb="FF000000"/>
        <rFont val="Calibri"/>
        <family val="2"/>
        <scheme val="minor"/>
      </rPr>
      <t>los criterios de rechazo para cada tipo de muestra ?</t>
    </r>
  </si>
  <si>
    <t>Os critérios de rejeição estão escritos em um POP ou em uma instrução de trabalho para cada tipo de amostra?</t>
  </si>
  <si>
    <t>Are unlabeled specimens rejected?</t>
  </si>
  <si>
    <t>Les échantillons non étiquetés sont-ils rejetés?</t>
  </si>
  <si>
    <t>¿Se rechazan las muestras que no estén etiquetadas?</t>
  </si>
  <si>
    <t>As amostras não identificadas são  rejeitadas?</t>
  </si>
  <si>
    <t>Are mislabeled specimens rejected?</t>
  </si>
  <si>
    <t>Les échantillons mal étiquetés sont-ils rejetés?</t>
  </si>
  <si>
    <t>¿Se rechazan las muestras mal etiquetadas?</t>
  </si>
  <si>
    <t>As amostras identificadas erroneamente são  rejeitadas?</t>
  </si>
  <si>
    <t>Are leaking specimens rejected?</t>
  </si>
  <si>
    <t>Les échantillons qui fuient sont-ils rejetés?</t>
  </si>
  <si>
    <t>¿Se rechazan las muestras con derrames?</t>
  </si>
  <si>
    <t>As amostras derramadas são  rejeitadas?</t>
  </si>
  <si>
    <t>Are specimens rejected if not transported to the lab within established time limits?</t>
  </si>
  <si>
    <t>Les échantillons sont-ils rejetés s'ils ne sont pas transportés au laboratoire dans les délais prescrits?</t>
  </si>
  <si>
    <t>¿Se rechazan las muestras si no se transportan al laboratorio dentro de los límites de tiempo establecidos?</t>
  </si>
  <si>
    <t>As amostras são  rejeitadas se não são transportadas dentro dos limites de tempo estabelecidos?</t>
  </si>
  <si>
    <t>Are specimens rejected if there is evidence that they were not maintained in proper conditions during and prior to transport?</t>
  </si>
  <si>
    <t>Les échantillons sont-ils rejetés s’il est prouvé qu’ils n’ont pas été maintenus dans de bonnes conditions pendant et avant le transport?</t>
  </si>
  <si>
    <t>¿Se rechazan las muestras si hay evidencia de que no se mantuvieron en condiciones adecuadas durante y antes del transporte?</t>
  </si>
  <si>
    <t>As amostras são rejeitadas se há evidências de que não foram mantidas em condições adequadas durante e antes do transporte?</t>
  </si>
  <si>
    <t>Is there evidence that specimen rejection criteria are enforced (review rejection log)?</t>
  </si>
  <si>
    <t>Existe-t-il des preuves que les critères de rejet des échantillons sont appliqués (journal de rejet des échantillons)?</t>
  </si>
  <si>
    <t>¿Existe evidencia de que se aplican los criterios de rechazo de muestras (revisar el registro de rechazo)?</t>
  </si>
  <si>
    <t>Existe evidência de que os critérios de rejeição de amostra são aplicados (revisar o registro de  rejeição)?</t>
  </si>
  <si>
    <t>Does the lab maintain quality indicators regarding the number of specimens rejected?</t>
  </si>
  <si>
    <t>Le laboratoire maintient-il des indicateurs de qualité concernant le nombre d'échantillons rejetés?</t>
  </si>
  <si>
    <t>¿Mantiene el laboratorio indicadores de calidad con respecto al número de muestras rechazadas?</t>
  </si>
  <si>
    <t>O laboratório mantém de indicadores de qualidade em relação ao número de amostras rejeitadas?</t>
  </si>
  <si>
    <t>When specimens are rejected, does the lab notify the ward or clinic immediately so that a new specimen may be collected?</t>
  </si>
  <si>
    <t>Lorsque les échantillons sont rejetés, le laboratoire en informe-t-il immédiatement le service ou la clinique afin de pouvoir prélever un nouvel échantillon?</t>
  </si>
  <si>
    <t>Cuando se rechazan las muestras, ¿notifica de inmediato el laboratorio al hospital o a la clínica para que se pueda recoger una nueva muestra?</t>
  </si>
  <si>
    <t>Quando as amostras são rejeitadas, o laboratório notifica a enfermaria ou clínica imediatamente para que uma nova amostra possa  ser coletada?</t>
  </si>
  <si>
    <t>Does the lab provide blood culture specimen collection instructions/SOPs to patient sample collection areas?</t>
  </si>
  <si>
    <t>Le laboratoire fournit-il des instructions / procédures de prélèvement d'échantillons de sang aux services prélevant des échantillons de patients?</t>
  </si>
  <si>
    <t>¿Proporciona el laboratorio instrucciones/POEs de la recogida de muestras para hemocultivos a las areas de recogida de muestras de pacientes?</t>
  </si>
  <si>
    <t>O laboratório fornece instruções/ POPs para a coleta de hemocultura  para as áreas de coleta de amostras do paciente?</t>
  </si>
  <si>
    <t>Does the lab (or other department) provide annual training to clinical staff on blood culture specimen collection?</t>
  </si>
  <si>
    <t>Le laboratoire (ou un autre service) offre-t-il une formation annuelle au personnel clinique sur la collecte d'échantillons d'hémoculture?</t>
  </si>
  <si>
    <t>¿Proporciona el laboratorio (u otro departamento) formación anual al personal clínico sobre la toma de muestras para hemocultivos?</t>
  </si>
  <si>
    <t>O laboratório (ou outro departamento) fornece treinamento anual ao pessoal clínico sobre a coleta de amostras para hemoculturas?</t>
  </si>
  <si>
    <r>
      <t xml:space="preserve">Review the blood culture specimen collection instructions. Does it address the following items? </t>
    </r>
    <r>
      <rPr>
        <sz val="10"/>
        <color rgb="FFFF0000"/>
        <rFont val="Calibri"/>
        <family val="2"/>
        <scheme val="minor"/>
      </rPr>
      <t>(If specimen collection instructions do not exist or are not available to review, answer "No" to each.)</t>
    </r>
  </si>
  <si>
    <t>Passez en revue les instructions de prélèvement des échantillons de sang. Cela comprend-t-il les éléments suivants? (Si les instructions de prélèvement d'échantillons n'existent pas ou ne sont pas disponibles pour examen, répondez «Non» à chaque question.)</t>
  </si>
  <si>
    <t>Revise las instrucciones de toma de muestras para hemocultivos. ¿Aborda los siguientes elementos? (Si las instrucciones de toma de muestras no existen o no están disponibles para revisar, responda "No" en cada una).</t>
  </si>
  <si>
    <t>Reveja as instruções de coleta de amostras para hemoculturas. Abordam os seguintes itens? (Se as instruções de coleta de amostras não existirem ou não estiverem disponíveis para revisão, responda "Não" para cada uma.)</t>
  </si>
  <si>
    <t>Collect prior to administering antibiotics to patient</t>
  </si>
  <si>
    <t>Prélever avant d'administrer des antibiotiques au patient</t>
  </si>
  <si>
    <t>Recoger antes de administrar antibióticos al paciente.</t>
  </si>
  <si>
    <t>Coletar antes da administração de antibióticos ao paciente</t>
  </si>
  <si>
    <t>Antiseptic skin preparation and aseptic collection technique</t>
  </si>
  <si>
    <t>Asepsie de la peau et technique de collecte aseptique</t>
  </si>
  <si>
    <t>Preparación antiséptica de la piel y técnica de recogida aséptica.</t>
  </si>
  <si>
    <t>Preparação da pele com antisséptico e técnica de coleta asséptica</t>
  </si>
  <si>
    <t>Antiseptic stopper preparation and aseptic inoculation of bottles</t>
  </si>
  <si>
    <t>Préparation d'un bouchon antiseptique et inoculation aseptique des flacons</t>
  </si>
  <si>
    <t>Preparación del tapón con antiséptico e inoculación aséptica en los frascos.</t>
  </si>
  <si>
    <t>Preparação da tampa com antisséptico e inoculação asséptica de frascos</t>
  </si>
  <si>
    <t>Minimum volume for adults (typically 10-15mL per bottle)</t>
  </si>
  <si>
    <t>Volume minimum pour les adultes (généralement 10-15 ml par flacon)</t>
  </si>
  <si>
    <t>Volumen mínimo para adultos (generalmente 10-15 ml por frasco)</t>
  </si>
  <si>
    <t>Volume mínimo para adultos (geralmente, 10-15 ml por frasco)</t>
  </si>
  <si>
    <t>Minimum volume for children (typically 5-10mL per bottle)</t>
  </si>
  <si>
    <t>Volume minimum pour les enfants (généralement 5-10 ml par flacon)</t>
  </si>
  <si>
    <t>Volumen mínimo para niños (generalmente 5-10 ml por frasco)</t>
  </si>
  <si>
    <t>Volume mínimo para crianças (geralmente, 5-10 ml por frasco)</t>
  </si>
  <si>
    <t>Minimum volume for neonates (typically 0.5-1mL per bottle)</t>
  </si>
  <si>
    <t>Volume minimum pour les nouveau-nés (généralement 0,5 à 1 ml par flacon)</t>
  </si>
  <si>
    <t>Volumen mínimo para neonatos (generalmente 0.5-1mL por frasco)</t>
  </si>
  <si>
    <t>Volume mínimo para recém-nascidos (geralmente 0.5-1mL por frasco)</t>
  </si>
  <si>
    <t>Does laboratory policy require that two "sets" of blood cultures are drawn?</t>
  </si>
  <si>
    <t>La politique des laboratoires exige-t-elle que deux paires d'hémocultures soient prélevées?</t>
  </si>
  <si>
    <t>¿Exige la política de laboratorio que se recojan dos frascos de hemocultivos?</t>
  </si>
  <si>
    <t xml:space="preserve">A política do laboratório exige que se coletem dois frascos para hemocultura? </t>
  </si>
  <si>
    <t>Does the policy specify that each blood culture should be obtained from a different venipuncture site?</t>
  </si>
  <si>
    <t>La politique précise-t-elle que chaque hémoculture doit provenir d'un site de ponction veineuse différent?</t>
  </si>
  <si>
    <t>¿Especifica la política si cada hemocultivo debe obtenerse a partir de un sitio diferente de venopunción?</t>
  </si>
  <si>
    <t>A política especifica que cada hemocultura deva ser obtida a partir de um local  diferente de punção venosa?</t>
  </si>
  <si>
    <t>Proper bottle labeling (patient name, ID, date, time, venipuncture site)</t>
  </si>
  <si>
    <t>Etiquetage correct du flacon (nom du patient, identifiant, date, heure, site de ponction veineuse)</t>
  </si>
  <si>
    <t>Etiquetado adecuado del frasco (nombre del paciente, identificación, fecha, hora, sitio de venopunción)</t>
  </si>
  <si>
    <t>Rótulo adequado nos frascos (nome do paciente, ID, Data, Hora, Local da punção venosa)</t>
  </si>
  <si>
    <t>Transport bottles to the lab within 1 hour of collection</t>
  </si>
  <si>
    <t>Transporter les flacons au laboratoire dans l'heure qui suit leur collecte</t>
  </si>
  <si>
    <t>Transporte de los frascos al laboratorio en el plazo de una hora tras la recogida de la muestra.</t>
  </si>
  <si>
    <t>Transporte dos frascos de hemocultura para o laboratório dentro do prazo de  1 hora após a coleta</t>
  </si>
  <si>
    <t>If transport will be delayed, store bottles for automated systems at room temperature; store bottles for manual systems at 37°C.</t>
  </si>
  <si>
    <t>Si le transport est retardé, stockez les flacons pour les systèmes automatisés à la température ambiante; conserver les flacons pour les systèmes manuels à 37 ° C.</t>
  </si>
  <si>
    <t>Si se retrasa el transporte, almacene los frascos para sistemas automatizados a temperatura ambiente; almacenar los frascos para sistemas manuales a 37 ° C.</t>
  </si>
  <si>
    <t>Se houver atraso no transporte, armazenar os frascos para sistemas automatizados, à temperatura ambiente; armazenar os frascos para os sistemas manuais, a 37 ° C.</t>
  </si>
  <si>
    <t>PRELEVEMENT ET TRANSPORT D'ECHANTILLONS D'URINE</t>
  </si>
  <si>
    <t>COLETA E TRANSPORTE DE AMOSTRAS DE URINA</t>
  </si>
  <si>
    <t>Does the lab provide urine culture specimen collection instructions/SOPs to patient sample collection areas?</t>
  </si>
  <si>
    <t>Le laboratoire fournit-il des instructions / procédures de prélèvement d'échantillons d'urine aux services prélèvant/recueillant des échantillons de patient?</t>
  </si>
  <si>
    <t>¿Proporciona el laboratorio instrucciones/POEs de la recogida de muestras para urocultivos a las áreas de recogida de muestras de pacientes?</t>
  </si>
  <si>
    <t>O laboratório fornece instruções/ POPs para a coleta de amostras para urocultura para as áreas de coleta de amostras dos pacientes?</t>
  </si>
  <si>
    <t>Does the lab (or other department) provide annual refresher training to clinical staff on urine culture specimen collection?</t>
  </si>
  <si>
    <t>Le laboratoire (ou un autre service) offre-t-il un maintien annuel des compétences aux préleveurs pour la collecte d'échantillons d'urine?</t>
  </si>
  <si>
    <t>¿Proporciona el laboratorio (u otro departamento) formación anual de actualización al personal clínico sobre la recogida de muestras para urocultivos?</t>
  </si>
  <si>
    <t>O laboratório (ou outro departamento) oferece cursos de reciclagem anual ao pessoal clínico sobre a coleta de amostras para uroculturas?</t>
  </si>
  <si>
    <t>Review the urine culture specimen collection instructions. Does it address the following items?</t>
  </si>
  <si>
    <t>Passez en revue les instructions de collecte des échantillons d’urine. Comprennent-elles les éléments suivants?</t>
  </si>
  <si>
    <t>Revise las instrucciones de recogida de muestras para urocultivos. ¿Aborda los siguientes elementos?</t>
  </si>
  <si>
    <t>Revise  as instruções de coleta de amostras para uroculturas. Abordam os seguintes itens?</t>
  </si>
  <si>
    <t>Antiseptic cleaning instructions for women, men and infants</t>
  </si>
  <si>
    <t>Instructions pour la désinfection locale des femmes, hommes et nourrissons</t>
  </si>
  <si>
    <t>Instrucciones de limpieza antiséptica para mujeres, hombres y bebés.</t>
  </si>
  <si>
    <t>Instruções de limpeza antissépticas para mulheres, homens e crianças</t>
  </si>
  <si>
    <t>Mid-stream or "clean catch" instructions</t>
  </si>
  <si>
    <t>Instruction pour la réalisation du prélèvement à mi-jet</t>
  </si>
  <si>
    <t>Instrucciones de flujo medio o "captura limpia"</t>
  </si>
  <si>
    <t>Instruções para coleta do jato-médio ou instruções de "coleta" limpa</t>
  </si>
  <si>
    <t>Sterile containers only</t>
  </si>
  <si>
    <t>Utilisation de contenants stériles uniquement</t>
  </si>
  <si>
    <t>Usar solo contenedores estériles</t>
  </si>
  <si>
    <t>Utilizar somente recipientes estéreis</t>
  </si>
  <si>
    <t>Minimum volume (typically 3mL)</t>
  </si>
  <si>
    <t>Volume minimum (généralement 3 ml)</t>
  </si>
  <si>
    <t>Volumen mínimo (generalmente 3 ml)</t>
  </si>
  <si>
    <t>Volume mínimo (geralmente 3 mL)</t>
  </si>
  <si>
    <t>Proper labeling instructions</t>
  </si>
  <si>
    <t>Instructions pour un étiquetage approprié</t>
  </si>
  <si>
    <t>Instrucciones para el etiquetado adecuado</t>
  </si>
  <si>
    <t>Instruções de identificação apropriadas</t>
  </si>
  <si>
    <t>Transport to lab at room temperature within 2 hours of collection</t>
  </si>
  <si>
    <t>Transport au laboratoire à température ambiante dans les 2 heures suivant le prélèvement</t>
  </si>
  <si>
    <t>Transporte al laboratorio a temperatura ambiente en el plazo máximo de dos horas tras la recogida de la muestra</t>
  </si>
  <si>
    <t>Transporte para o laboratório à temperatura ambiente no prazo máximo de 2 horas após a coleta da amostra</t>
  </si>
  <si>
    <t>If transport will be delayed, store refrigerated for up to 24 hours</t>
  </si>
  <si>
    <t>Si le transport est retardé, conservation au réfrigérateur pendant 24 heures.</t>
  </si>
  <si>
    <t>Si el transporte se retrasa, almacenar refrigerado por un máximo de 24 horas</t>
  </si>
  <si>
    <t>Se houver atraso no transporte, armazenar refrigerado por até 24 horas</t>
  </si>
  <si>
    <t>PRELEVEMENT D'ECHANTILLON ET TRANSPORT DE SELLES</t>
  </si>
  <si>
    <t>COLETA E TRANSPORTE DAS AMOSTRAS DE FEZES</t>
  </si>
  <si>
    <t>Does the lab provide stool culture specimen collection instructions/SOPs to patient sample collection areas?</t>
  </si>
  <si>
    <t>Le laboratoire fournit-il des instructions / procédures de prélèvement d'échantillons  de selles aux  lieux de collecte des échantillons de patients?</t>
  </si>
  <si>
    <t>¿Proporciona el laboratorio instrucciones/POEs de recogida de muestras para coprocultivo a las áreas de recogida de muestras de pacientes?</t>
  </si>
  <si>
    <t>O laboratório fornece instruções/ POPs para a coleta de amostras para Coproculturas para as áreas onde as amostras dos pacientes são coletadas?</t>
  </si>
  <si>
    <t>Does the lab (or other department) provide annual refresher training to clinical staff on stool culture specimen collection?</t>
  </si>
  <si>
    <t>Le laboratoire (ou un autre service) offre-t-il un maintien annuel des compétences au personnel préleveur pour la collecte d'échantillons de selles?</t>
  </si>
  <si>
    <t>¿Proporciona el laboratorio (u otro departamento) formación anual de actualización al personal clínico sobre la recogida de muestras para coprocultivo?</t>
  </si>
  <si>
    <t>O laboratório (ou outro departamento) oferece cursos de reciclagem anual ao pessoal clínico sobre a coleta da amostras para Coproculturas?</t>
  </si>
  <si>
    <t>Review the stool culture specimen collection instructions. Does it address the following items?</t>
  </si>
  <si>
    <t>Passez en revue les instructions de collecte des échantillons de selles. Comprennent-elles les éléments suivants?</t>
  </si>
  <si>
    <t>Revise las instrucciones de recogida de muestras para coprocultivos. ¿Aborda los siguientes elementos?</t>
  </si>
  <si>
    <t>Revise  as instruções de coleta de amostras para Coproculturas. Abordam os seguintes itens?</t>
  </si>
  <si>
    <t>Collection technique</t>
  </si>
  <si>
    <t xml:space="preserve">Technique de collecte </t>
  </si>
  <si>
    <t>Técnica de recogida</t>
  </si>
  <si>
    <t>Técnica de coleta</t>
  </si>
  <si>
    <t>Approved containers</t>
  </si>
  <si>
    <t>Contenants valides</t>
  </si>
  <si>
    <t>Usar solo contenedores aprobados</t>
  </si>
  <si>
    <t>Utilizar somente recipientes aprovados</t>
  </si>
  <si>
    <t>Min/Max volume</t>
  </si>
  <si>
    <t>Volume Min / Max</t>
  </si>
  <si>
    <t>Volumen min / max</t>
  </si>
  <si>
    <t>Proper labeling</t>
  </si>
  <si>
    <t>Étiquetage correct</t>
  </si>
  <si>
    <t>Etiquetado adecuado</t>
  </si>
  <si>
    <t>Identificação adequada</t>
  </si>
  <si>
    <t>Transport to the lab at room temperature within 2 hours</t>
  </si>
  <si>
    <t>Transporte al laboratorio a temperatura ambiente en el plazo máximo de dos horas tras la recogida de la muestra.</t>
  </si>
  <si>
    <t>Transporte para o laboratório à temperatura ambiente, dentro de 2 horas</t>
  </si>
  <si>
    <t>If transport will be delayed, place specimen in an approved transport medium (such as Cary-Blair) for up to 24 hours</t>
  </si>
  <si>
    <t>Si le transport doit être retardé, placez l'échantillon dans un moyen de transport approuvé (tel que Cary-Blair) pendant 24 heures maximum.</t>
  </si>
  <si>
    <t>Si el transporte se retrasa, guardar la muestra en un medio de transporte aprobado (como Cary-Blair) por un máximo de 24 horas</t>
  </si>
  <si>
    <t>Se houver atraso no transporte, armazenar a amostra  em um meio de transporte aprovado (como Cary Blair) durante até 24 horas</t>
  </si>
  <si>
    <t>If transport will be delayed, do not refrigerate stool since some pathogens, especially Shigella spp, will die at low temperatures</t>
  </si>
  <si>
    <t>Si le transport est retardé, ne pas réfrigérer les selles, car certains agents pathogènes, notamment Shigella spp, sont détruits à basse température.</t>
  </si>
  <si>
    <t>Si  el transporte se retrasa, no refrigerar las heces, ya que algunos patógenos, especialmente Shigella spp, mueren a bajas temperaturas.</t>
  </si>
  <si>
    <t>Se houver atraso no transporte, não refrigerar as fezes, uma vez que alguns agentes patogênicos, especialmente Shigella spp, morrerão a baixas temperaturas</t>
  </si>
  <si>
    <t>9- TRAITEMENT</t>
  </si>
  <si>
    <t>Please note: all questions refer only to clinical patient specimens, NOT to research or environmental specimens</t>
  </si>
  <si>
    <t>Remarque: toutes les questions concernent uniquement les échantillons cliniques, PAS les échantillons de recherche ou environnementaux.</t>
  </si>
  <si>
    <t>Atenção: todas as questões referem-se apenas a amostras clínicas de pacientes, NÃO a amostras de pesquisa ou  ambientais</t>
  </si>
  <si>
    <t>PROCESAMIENTO DE LOS HEMOCULTIVOS</t>
  </si>
  <si>
    <t>Does the laboratory perform blood cultures?</t>
  </si>
  <si>
    <t>Le laboratoire effectue-t-il des hémocultures?</t>
  </si>
  <si>
    <t>¿El laboratorio realiza hemocultivos?</t>
  </si>
  <si>
    <t>O laboratório realiza hemoculturas?</t>
  </si>
  <si>
    <t>Does the laboratory have an SOP describing how to process blood for bacterial culture?</t>
  </si>
  <si>
    <t>Le laboratoire dispose-t-il d’une POS décrivant comment prendre un charge un prélèvement pour réalisation d'une hémoculture?</t>
  </si>
  <si>
    <t>¿Tiene el laboratorio un POE que describa cómo procesar la sangre para el cultivo bacteriano?</t>
  </si>
  <si>
    <t>O laboratório tem um POP descrevendo como processar sangue para cultura bacteriana?</t>
  </si>
  <si>
    <t>When a blood culture bottle shows signs of positivity, (turbidity, hemolysis, or gas production), does the lab perform a Gram stain of the bottle broth?</t>
  </si>
  <si>
    <t>Lorsqu'un flacon d'hémoculture présente des signes de positivité (turbidité, hémolyse ou production de gaz), le laboratoire effectue-t-il une coloration de Gram sur le contenu du flacon ?</t>
  </si>
  <si>
    <t>Cuando un frasco de hemocultivo muestra signos de positividad (turbidez, hemólisis o producción de gas), ¿realiza el laboratorio una tinción de Gram del caldo del frasco?</t>
  </si>
  <si>
    <t>Quando um frasco de hemocultura mostra sinais de positividade, (turbidez, hemólise, ou produção de gás), o laboratório realiza uma coloração de Gram do caldo do frasco?</t>
  </si>
  <si>
    <t>If the Gram stain from the bottle is positive, does the lab call the result to the physician immediately?</t>
  </si>
  <si>
    <t>Si la coloration de Gram du flacon est positive, le laboratoire communique-t-il le résultat imédiatement au médecin?</t>
  </si>
  <si>
    <t>Si la tinción de Gram del frasco es positiva, ¿notifica el laboratorio inmediatamente el resultado al médico?</t>
  </si>
  <si>
    <t>Se a coloração de Gram do frasco é positiva, laboratório informa o resultado para o médico imediatamente?</t>
  </si>
  <si>
    <t xml:space="preserve">When a positive blood culture broth is subcultured, is a chocolate plate included to ensure recovery of fastidious organisms? </t>
  </si>
  <si>
    <t>Quand un bouillon d'hémoculture positif est subcultivé, gélose chocolat est-elle incluse pour assurer la mise en évidence d'organismes de culture difficile?</t>
  </si>
  <si>
    <t>Cuando se subcultiva un caldo de hemocultivo positivo, ¿se incluye una placa de chocolate para garantizar la recuperación de los organismos fastidiosos ?</t>
  </si>
  <si>
    <t xml:space="preserve">Quando é feita uma subcultura do caldo de uma hemocultura positiva, uma placa de chocolate é incluída para garantir a recuperação de organismos fastidiosos? </t>
  </si>
  <si>
    <t>Does the lab inoculate more than one patient sample on the same petri dish?</t>
  </si>
  <si>
    <t>Le laboratoire ensemence-t-il plus d'un échantillon de patient sur la même boîte de Pétri?</t>
  </si>
  <si>
    <t>¿Inocula el laboratorio más de una muestra de paciente en la misma placa de Petri?</t>
  </si>
  <si>
    <t>O laboratório inocula mais do que uma amostra de paciente na mesma placa de Petri?</t>
  </si>
  <si>
    <t xml:space="preserve">Does the SOP for blood cultures appropriately define which organisms are commonly considered contaminants? </t>
  </si>
  <si>
    <t>La POS pour les hémocultures définit-elle correctement les organismes qui sont généralement considérés comme des contaminants?</t>
  </si>
  <si>
    <t>¿Se definen adecuadamente en el POE de hemocultivos los organismos que se consideran generalmente contaminantes?</t>
  </si>
  <si>
    <t xml:space="preserve">O POP para hemoculturas define adequadamente quais os organismos são comumente considerados contaminantes? </t>
  </si>
  <si>
    <t>E.g.,  Corynebacterium spp., Propionibacterium spp., Micrococcus spp., viridans Strep spp., Bacillus spp., and coagulase-negative Staph spp. isolated from only one culture</t>
  </si>
  <si>
    <t>Par exemple: Corynebacterium spp., Propionibacterium spp., Micrococcus spp.,  Streptocoque viridans, Bacillus spp, Staph coagulase négative isolé à partir d'une seule culture</t>
  </si>
  <si>
    <t>Por ejemplo, Corynebacterium spp., Propionibacterium spp., Micrococcus spp., Viridans Strep spp., Bacillus spp. Y Staph spp. Coagulasa negativa. aislado de un único cultivo</t>
  </si>
  <si>
    <t>Ex., Corynebacterium spp., Propionibacterium spp., Micrococcus spp., Viridans Strep spp., Bacillus spp., E Staph spp coagulase-negativa  isolado a partir de uma única cultura</t>
  </si>
  <si>
    <t>Does the lab perform AST on organisms that are possible contaminants?</t>
  </si>
  <si>
    <t>Le laboratoire effectue-t-il des TSA sur des organismes potentiellement contaminants?</t>
  </si>
  <si>
    <t>¿Realiza el laboratorio PSA en organismos que sean posibles contaminantes?</t>
  </si>
  <si>
    <t>O laboratório executa TSA em organismos que são possíveis contaminantes?</t>
  </si>
  <si>
    <t>Which blood culture incubation systems does the lab use?</t>
  </si>
  <si>
    <t>Quels systèmes d'incubation d'hémoculture le laboratoire utilise-t-il?</t>
  </si>
  <si>
    <t>¿Qué sistemas de incubación de hemocultivos utiliza el laboratorio?</t>
  </si>
  <si>
    <t>Quais os sistemas de incubação de hemocultura utilizados pelo laboratório?</t>
  </si>
  <si>
    <t>1: Automated only; 2: Manual System only; 3: Both automated and manual systems</t>
  </si>
  <si>
    <t>1: automatisé seulement; 2: système manuel uniquement; 3: systèmes automatisés et manuels</t>
  </si>
  <si>
    <t>1: solo automatizado; 2: solo sistema manual; 3: sistemas automatizados y manuales</t>
  </si>
  <si>
    <t>1: Somente automatizado; 2: Somente sistema manual; 3: Sistemas automatizados e manuais</t>
  </si>
  <si>
    <t>SYSTÈMES MANUELS D'HEMOCULTURES</t>
  </si>
  <si>
    <t>Review the SOP for manual incubation of blood culture bottles. Does it include each of the following instructions? (If only automated systems are used, answer NA)</t>
  </si>
  <si>
    <t>Passez en revue les POS pour l'incubation manuelle des flacons d'hémoculture. Inclut-il chacune des instructions suivantes? (Si seuls des systèmes automatisés sont utilisés, répondez NA)</t>
  </si>
  <si>
    <t>Revise el POE para la incubación manual de frascos de hemocultivo. ¿Incluye las instrucciones siguientes? (Si solo se utilizan sistemas automatizados, responda NA)</t>
  </si>
  <si>
    <t>Revisar o POP para incubação manual dos frascos hemocultura. O POP Inclui cada uma das seguintes instruções? (Se forem utilizados somentes sistemas automatizados, responder NA)</t>
  </si>
  <si>
    <t>On each day of incubation, visually examine all bottles for signs of positivity (turbidity, hemolysis, gas production)</t>
  </si>
  <si>
    <t>Chaque jour d'incubation, examinez visuellement tous les flacons à la recherche de signes de positivité (turbidité, hémolyse, production de gaz).</t>
  </si>
  <si>
    <t>Cada día de incubación, examinar visualmente todas los frascos en busca de signos de positividad (turbidez, hemólisis, producción de gas)</t>
  </si>
  <si>
    <t>A cada dia de incubação, examinar visualmente todos os frascos para sinais de positividade (turbidez, hemólise, produção de gás)</t>
  </si>
  <si>
    <t xml:space="preserve">After 24 hours of incubation, subculture all bottles that appear negative  </t>
  </si>
  <si>
    <t>Après 24 heures d'incubation, subcultivez toutes les flacons négatifs</t>
  </si>
  <si>
    <t>Después de 24 horas de incubación, realizar un subcultivo de todos los frascos que aparenten ser negativos</t>
  </si>
  <si>
    <t xml:space="preserve">Após 24 horas de incubação,  realizar a subcultura de todas as garrafas que aparentem ser negativo </t>
  </si>
  <si>
    <t>After 48 hours of incubation, subculture all bottles that appear negative again (if the first subculture was negative)</t>
  </si>
  <si>
    <t>Après 48 heures d'incubation, repiquage de tous les flacons qui apparaissent à nouveau négatifs (si le premier repiquage était négatif)</t>
  </si>
  <si>
    <t>Después de 48 horas de incubación, realizar nuevamente un subcultivo de todos los frascos que aparenten ser negativos (si el primer subcultivo fue negativo)</t>
  </si>
  <si>
    <t>Após 48 horas de incubação, realizar novamente uma subcultura de todos os frascos que  aparentem ser negativos (se a primeira a subcultura for negativa)</t>
  </si>
  <si>
    <t>Subculture bottles that appear negative to a chocolate agar plate (incubated in 5% CO2) to ensure recovery of fastidious organisms</t>
  </si>
  <si>
    <t>Repiquez les flacons négatifs sur une gélose chocolat (incubées dans 5% de CO2) pour assurer la récupération d'organismes fastidieux</t>
  </si>
  <si>
    <t>Realizar un subcultivo de los frascos que aparenten ser negativos en una placa de agar chocolate (incubada al 5% de CO2) para asegurar la recuperación de organismos fastidiosos.</t>
  </si>
  <si>
    <t>Realizar uma subcultura dos frascos que aparentem ser negativos em uma placa de ágar chocolate (incubadas em 5% de CO2) para assegurar a recuperação de organismos fastidiosos</t>
  </si>
  <si>
    <t>Incubate all bottles between 5 and 7 days before issuing a final negative report</t>
  </si>
  <si>
    <t>Incuber toutes les flacons entre 5 et 7 jours avant de conclure à leur négativité sur le compte rendu d'examen.</t>
  </si>
  <si>
    <t xml:space="preserve">Dejar incubar todos los frascos entre 5 y 7 días antes de emitir un informe final negativo </t>
  </si>
  <si>
    <t>Incubar todos os frascos entre 5 e 7 dias antes de emitir um relatório final negativo</t>
  </si>
  <si>
    <t>On the final day of incubation, perform a terminal subculture before the final negative report is issued</t>
  </si>
  <si>
    <t>Le dernier jour d'incubation, effectuez un dernier repiquage avant la diffusion du compte rendu définitif rapportant l'hémoculture comme négative.</t>
  </si>
  <si>
    <t xml:space="preserve">En el último día de incubación, realizar un subcultivo final antes de emitir el informe final negativo </t>
  </si>
  <si>
    <t xml:space="preserve">No último dia de incubação, realizar uma subcultura terminal antes emitir o  relatório final negativo </t>
  </si>
  <si>
    <t>CULTURE D'URINE</t>
  </si>
  <si>
    <t>Does the laboratory perform urine cultures?</t>
  </si>
  <si>
    <t>Le laboratoire effectue-t-il des urocultures?</t>
  </si>
  <si>
    <t>¿El laboratorio realiza urocultivos?</t>
  </si>
  <si>
    <t>O laboratório realiza uroculturas?</t>
  </si>
  <si>
    <t>Does the laboratory have an SOP for how to process urine for bacterial culture? (request to see)</t>
  </si>
  <si>
    <t>Le laboratoire a-t-il une POS décrivant la réalisation de culture des urines? (demandez à voir)</t>
  </si>
  <si>
    <t>¿Tiene el laboratorio un POE sobre cómo procesar la orina para el cultivo bacteriano? (Solicitar ver)</t>
  </si>
  <si>
    <t>O laboratório tem um POP para como processar a urina para a cultura bacteriana? (Solicitar ver)</t>
  </si>
  <si>
    <t>According to the SOP, which media are used for primary culture of urine?</t>
  </si>
  <si>
    <t>Selon la POS, quels sont les milieux utilisés pour la culture primaire d'urine?</t>
  </si>
  <si>
    <t>Según el POE, ¿qué medios se utilizan para el urocultivo primario?</t>
  </si>
  <si>
    <t>De acordo com o POP, que meios são utilizados para a cultura primária de urina?</t>
  </si>
  <si>
    <t>1. Both blood agar and a selective gram-negative agar (e.g., MacConkey, EMB, CLED)</t>
  </si>
  <si>
    <t>1. Gélose au sang et gélose selective pour les Gram négatifs (par exemple MacConkey, EMB, CLED)</t>
  </si>
  <si>
    <t>1. Tanto el agar sangre como el agar selectivo para Gram negativos (Ej., MacConkey, EMB, CLED)</t>
  </si>
  <si>
    <t>1. Tanto o ágar de sangue como um ágar seletivo para Gram-negativos (ex, MacConkey, EMB, CLED)</t>
  </si>
  <si>
    <t>2. Chromogenic agar designed for urine specimens</t>
  </si>
  <si>
    <t>2. Gélose chromogéne conçu pour les échantillons d'urine</t>
  </si>
  <si>
    <t>2. Agar cromogénico diseñado para muestras de orina.</t>
  </si>
  <si>
    <t>2. Agar cromogênico específico para amostras de urina</t>
  </si>
  <si>
    <t>3. Blood agar only</t>
  </si>
  <si>
    <t>3. Gélose au sang uniquement</t>
  </si>
  <si>
    <t>3. Solo agar sangre</t>
  </si>
  <si>
    <t>3. Somente Agar Sangue</t>
  </si>
  <si>
    <t>4. Other, describe</t>
  </si>
  <si>
    <t>4. Autre, décrivez</t>
  </si>
  <si>
    <t>4. Otro, describa</t>
  </si>
  <si>
    <t>4. Outro, descrever</t>
  </si>
  <si>
    <t>Standard: CAP MIC.22210; SANAS TR 34-04:3.2.1.2 Media and procedures must be used to ensure isolation and identification of common uropathogens such as Enterobacteriaceae, Enterococcus sp., and Staphylococcus sp.</t>
  </si>
  <si>
    <t>Standard: CAP MIC.22210; SANAS TR 34-04: 3.2.1.2 Des milieux et des procédures doivent être utilisés pour assurer l’isolement et l’identification des uropathogènes courants tels que Enterobacteriaceae, Enterococcus et Staphylococcus.</t>
  </si>
  <si>
    <t>Estándar: CAP MIC.22210; SANAS TR 34-04: 3.2.1.2 Se deben usar medios y procedimientos que aseguren el aislamiento e identificación de uropatógenos comunes como Enterobacteriaceae, Enterococcus sp. Y Staphylococcus sp.</t>
  </si>
  <si>
    <t>Norma: CAP MIC.22210; SANAS TR 34-04: 3.2.1.2 Meios e procedimentos devem ser utilizados para garantir o isolamento e identificação de uropatógenos comuns, tais como Enterobacteriaceae, Enterococcus sp, e Staphylococcus sp..</t>
  </si>
  <si>
    <t xml:space="preserve">Are quantitative cultures (colony counts) performed? </t>
  </si>
  <si>
    <t>Des cultures quantitatives (comptage de colonies) sont-elles effectuées?</t>
  </si>
  <si>
    <t>¿Se realizan cultivos cuantitativos (recuento de colonias)?</t>
  </si>
  <si>
    <t xml:space="preserve">São realizadas culturas quantitativas (contagem de colônias)? </t>
  </si>
  <si>
    <t>Standard: CAP MIC.22200; SANAS TR 34-04: 3.2.1.2 The minimal standards for evaluation of urine cultures should include an estimate of number of organisms, i.e., quantitative culture expressed as CFU/mL.</t>
  </si>
  <si>
    <t>Standard: CAP MIC.22200; SANAS TR 34-04: 3.2.1.2 Les normes minimales pour l’évaluation des cultures d’urine devraient inclure une estimation du nombre d’organismes, c’est-à-dire une culture quantitative exprimée en UFC /mL.</t>
  </si>
  <si>
    <t>Estándar: CAP MIC.22200; SANAS TR 34-04: 3.2.1.2 Los estándares mínimos para la evaluación de los urocultivos deben incluir una estimación del número de organismos. Ej., expresar el cultivo cuantitativo como UFC / mL.</t>
  </si>
  <si>
    <t>Norma: CAP MIC.22200; SANAS TR 34-04: 3.2.1.2 Os padrões mínimos para a avaliação de culturas de urina devem incluir uma estimativa do número de organismos, ou seja, a cultura quantitativa expressa como UFC / mL.</t>
  </si>
  <si>
    <t>Are urines plated using a calibrated loop?</t>
  </si>
  <si>
    <t>Les urines sont-elles ensemensées en utilisant une oese calibrée?</t>
  </si>
  <si>
    <t>¿Se siembra la orina en las placas utilizando un asa de siembra calibrada?</t>
  </si>
  <si>
    <t>As urinas são semeadas usando uma alça calibrada?</t>
  </si>
  <si>
    <t>1: Yes, 1µL  – 2: Yes, 10uL - 3: No, calibrated loops are not used to plate urines</t>
  </si>
  <si>
    <t xml:space="preserve">1: Oui, 1µL - 2: Oui, 10uL - 3: Non, les urines ne sont pas ensemencées à l'aide d' oeses calibrées </t>
  </si>
  <si>
    <t>1: Sí, 1 µL - 2: Sí, 10 µL - 3: No, las asas de siembra calibradas no se usan para sembrar la orina en placas</t>
  </si>
  <si>
    <t>1: Sim, 1µL - 2: Sim, 10µL - 3: Não, não se usam alças calibradas para semear urinas em placas</t>
  </si>
  <si>
    <t>Le laboratoire inocule-t-il plus d'un échantillon de patient sur la même boîte de Pétri?</t>
  </si>
  <si>
    <t>¿Siembra el laboratorio más de una muestra de paciente en la misma placa de Petri?</t>
  </si>
  <si>
    <t>O laboratório semeia mais de uma amostra de paciente na mesma placa de Petri?</t>
  </si>
  <si>
    <t xml:space="preserve">Does the urine culture SOP provide guidance to the technologist in determining which organisms to “work up” (ID and AST) based on relative quantities, pathogenicity, and method of specimen collection? </t>
  </si>
  <si>
    <t>La POS relative à la culture d'urine donne-t-elle des indications au technicien pour déterminer les organismes à traiter (identification et TSA) en fonction des quantités relatives, du pouvoir pathogène et de la méthode de prélèvement des échantillons?</t>
  </si>
  <si>
    <t>¿Proporciona el POE de urocultivos orientación al técnico para determinar qué organismos "trabajar" (ID y PSA) en función de las cantidades relativas, la patogenicidad y el método de recogida de muestras?</t>
  </si>
  <si>
    <t xml:space="preserve">O POP de uroculturas proporciona orientação para o técnico determinar quais os organismos deve-se “trabalhar” (ID e TSA) com base nas quantidades relativas, patogenicidade e método de coleta de amostra? </t>
  </si>
  <si>
    <t xml:space="preserve">Have technologists been adequately trained to recognize a poorly collected urine specimen (predominance of fecal or skin flora) based on the relative quantities, types, and mix of organisms present? </t>
  </si>
  <si>
    <t>Les techniciens ont-ils reçu une formation adéquate pour reconnaître un échantillon d’urine mal prélevé (prédominance de la flore fécale ou cutanée) en fonction des quantités, types et mélanges d’organismes présents?</t>
  </si>
  <si>
    <t>¿Se ha formado adecuadamente a los técnicos para reconocer una muestra de orina mal recogida (aquella con predominio de flora fecal o de la piel) en función de las cantidades relativas, tipos y mezclas de organismos presentes?</t>
  </si>
  <si>
    <t xml:space="preserve">Os técnicos foram adequadamente treinados para reconhecer uma amostra de urina mal coletada (predominância de flora fecal ou da pele) com base nas quantidades relativas, tipos, e mistura dos organismos presentes? </t>
  </si>
  <si>
    <t>STOOL CULTURES for Salmonella and Shigella</t>
  </si>
  <si>
    <t>CULTURES DE SELLES pour Salmonella et Shigella</t>
  </si>
  <si>
    <t>Does the laboratory perform stool cultures?</t>
  </si>
  <si>
    <t>Le laboratoire effectue-t-il des coproculture?</t>
  </si>
  <si>
    <t>¿El laboratorio realiza coprocultivo?</t>
  </si>
  <si>
    <t>O laboratório realiza coproculturas?</t>
  </si>
  <si>
    <t>Does the laboratory have an SOP for how to process (plate) stool for bacterial culture? (request to see)</t>
  </si>
  <si>
    <t>Le laboratoire a-t-il une POS décrivant l'ensemencement de selles pour la coproculture bactérienne? (demandez à voir)</t>
  </si>
  <si>
    <t>¿Tiene el laboratorio un POE sobre cómo procesar las heces (en placa) para el cultivo bacteriano?  (Solicitar ver)</t>
  </si>
  <si>
    <t>O laboratório tem um POP para como processar fezes (placa) para a cultura bacteriana? (Solicitar ver)</t>
  </si>
  <si>
    <t>Does the SOP describe how to identify potential pathogens on all primary media?</t>
  </si>
  <si>
    <t>La POS explique-t-elle comment identifier les agents pathogènes potentiels sur tous les milieux de départ?</t>
  </si>
  <si>
    <t>¿Describe el POE cómo identificar posibles patógenos en todos los medios primarios?</t>
  </si>
  <si>
    <t>O POP descreve como identificar potenciais agentes patogênicos em todos os meios primários?</t>
  </si>
  <si>
    <t>The SOP should describe the colony appearance of potential pathogens on MAC other selective &amp; differential media used, and should define how to proceed when a potential pathogen is encountered</t>
  </si>
  <si>
    <t>La POS devrait décrire l’apparence des colonies de pathogènes potentiels sur MAC, sur d’autres milieux sélectifs et différentiels utilisés, et définir la marche à suivre en cas de découverte d’un pathogène potentiel.</t>
  </si>
  <si>
    <t>El POE debe describir la aparición de colonias de posibles patógenos en MAC y otros medios selectivos y diferenciales que se utilicen, y debe definir cómo proceder cuando se encuentre a un posible patógeno.</t>
  </si>
  <si>
    <t>O POP deve descrever a aparência de colônias dos potenciais agentes patogénicos no MAC e outros meios seletivos e diferenciais utilizados, e deve definir como proceder quando um agente patogênico potencial é encontrado</t>
  </si>
  <si>
    <t>Which media are used for primary culture of stool?</t>
  </si>
  <si>
    <t>Quels sont les milieux de départ utilisés pour la culture des selles?</t>
  </si>
  <si>
    <t>¿Qué medios se utilizan para el coprocultivo primario?</t>
  </si>
  <si>
    <t>Que meios são utilizados para a cultura primária de fezes?</t>
  </si>
  <si>
    <t>Blood agar</t>
  </si>
  <si>
    <t>Gélose au sang</t>
  </si>
  <si>
    <t>Agar sangre</t>
  </si>
  <si>
    <t>Ágar sangue</t>
  </si>
  <si>
    <t>MacConkey or Eosin Methylene Blue agar</t>
  </si>
  <si>
    <t>Gélose MacConkey ou Eosin Methylene Blue</t>
  </si>
  <si>
    <t>Agar MacConkey o Eosina azul de metileno (EMB, por sus siglas en inglés)</t>
  </si>
  <si>
    <t>Ágar MacConkey ou Eosina Azul de Metileno (EMB)</t>
  </si>
  <si>
    <t>Selective and differential screening agar for Salmonella and Shigella (e.g., Salmonella/Shigella agar, Hektoen Enteric agar, Xylose Lysine Deoxycholate agar, or Deoxycholate Citrate Agar)</t>
  </si>
  <si>
    <t>Géloase de dépistage sélectif et différentiel pour Salmonella et Shigella (par exemple, gélose de Salmonella / Shigella, gélose Hektoen Enteric, gélose avec Xylose Lysine désoxycholate, ou gélose au citrate Deoxycholate)</t>
  </si>
  <si>
    <t>Agar de detección selectiva y diferencial para Salmonella y Shigella (Ej., Agar Salmonella / Shigella, agar entérico de Hektoen, agar xilosa lisina desoxicolato o agar desoxicolato citrato)</t>
  </si>
  <si>
    <t>Ágar seletivo e diferencial de rastreio para Salmonella e Shigella (ex., ágar Salmonella / Shigella, ágar entérico de Hektoen , Agar Xilose Lisina Desoxicolato , ou Agar Desoxicolato Citrato)</t>
  </si>
  <si>
    <t>Selective enrichment broth (e.g., Selenite, GN, etc.)</t>
  </si>
  <si>
    <t>Bouillon d'enrichissement sélectif (par exemple, sélénite, GN, etc.)</t>
  </si>
  <si>
    <t>Caldo de enriquecimiento selectivo (Ej., Selenita, GN, etc.)</t>
  </si>
  <si>
    <t>Caldo de enriquecimento seletivo (Ex. Selenito, GN, etc.)</t>
  </si>
  <si>
    <t>Other (describe in comments, not scored)</t>
  </si>
  <si>
    <t>Autre (décrire dans les commentaires, pas noté)</t>
  </si>
  <si>
    <t>Otro (describir en comentarios, no se puntua)</t>
  </si>
  <si>
    <t>Outro (descrever nos comentários, não se pontua)</t>
  </si>
  <si>
    <t xml:space="preserve">Are the following pathogens routinely targeted in every stool culture submitted? </t>
  </si>
  <si>
    <t>Les agents pathogènes suivants sont-ils systématiquement recherchés dans chaque culture de selles?</t>
  </si>
  <si>
    <t>¿Cuál de los siguientes patógenos se buscan rutinariamente en los coprocultivos recibidos?</t>
  </si>
  <si>
    <t>Quais dos seguintes patógenos são alvo rotineiros nas Coproculturas recebidas?</t>
  </si>
  <si>
    <t>Salmonella spp.</t>
  </si>
  <si>
    <t>Shigella spp.</t>
  </si>
  <si>
    <t>10- IDENTIFICATION METHODS &amp; STANDARD OPERATING PROCEDURES</t>
  </si>
  <si>
    <t>10- MÉTHODES D'IDENTIFICATION ET PROCÉDURES OPÉRATIONNELLESSTANDARDISEES</t>
  </si>
  <si>
    <t>10- PROCEDIMIENTOS OPERATIVOS ESTANDARIZADOS Y MÉTODOS DE IDENTIFICACIÓN</t>
  </si>
  <si>
    <t>10- PROCEDIMENTOS OPERACIONAIS PADRÕES E MÉTODOS DE IDENTIFICAÇÃO</t>
  </si>
  <si>
    <t>Please note: all questions refer only to clinical patient isolates, NOT to research or environmental isolates</t>
  </si>
  <si>
    <t>Remarque: toutes les questions concernent uniquement les isolats de patients cliniques, PAS les isolats de recherche ou environnementaux.</t>
  </si>
  <si>
    <t>Nota: tenga en cuenta que todas las preguntas se refieren solo a aislamientos clínicos de pacientes, NO a aislamientos ambientales o de investigación.</t>
  </si>
  <si>
    <t>Atenção: todas as perguntas se referem isolados clínicos de pacientes, NÃO a isolados de investigação ou ambientais</t>
  </si>
  <si>
    <t>MÉTHODES D'IDENTIFICATION CONVENTIONNELLES - RÉSUMÉ DES SCORES POUR LES POS</t>
  </si>
  <si>
    <t>MÉTODOS DE IDENTIFICACIÓN CONVENCIONALES - POE RESUMEN DE PUNTUACIÓN</t>
  </si>
  <si>
    <t>MÉTODOS DE IDENTIFICAÇÃO CONVENCIONAIS -  RESUMO DE PONTUAÇÃO DO POP</t>
  </si>
  <si>
    <t>Answer the questions below for each manual method/biochemical in use at the lab.</t>
  </si>
  <si>
    <t>Répondez aux questions ci-dessous pour chaque méthode manuelle / biochimique utilisée au laboratoire.</t>
  </si>
  <si>
    <t>Responda las siguientes preguntas para cada método manual / bioquímico que se utilice en el laboratorio.</t>
  </si>
  <si>
    <t>Responda às perguntas abaixo para cada método manual/ bioquímico em uso no laboratório.</t>
  </si>
  <si>
    <t>*"Fully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t>
  </si>
  <si>
    <t>* "Entièrement mis en œuvre" signifie que la POs a été approuvée et signée par un superviseur de laboratoire ou son représentant, et que le personnel du laboratoire a été formé sur le contenu et utilise la POs. une POs complète mais qui n'a pas été approuvée ou qui n'est pas utilisée couramment n'est pas considérée comme pleinement appliquée.</t>
  </si>
  <si>
    <t>* "Completamente implementado" significa que el POE ha sido aprobado y firmado por un supervisor de laboratorio o persona designada para tal efecto, y que el personal del laboratorio ha recibido formado de sus contenidos y utiliza el POE. Un POE que está completo pero que no ha sido aprobado o no tiene un uso en la rutina no se considera completamente implementado.</t>
  </si>
  <si>
    <t>* "Completamente implementado" significa que a POP foi aprovado e assinado por um supervisor do laboratório ou pessoa designada, e que o pessoal de laboratório foi treinado sobre o conteúdo e utilização do POP. Um POP que está completo, mas não foi aprovado ou não está em uso rotineiro não é considerado completamente implementado.</t>
  </si>
  <si>
    <t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t>
  </si>
  <si>
    <t>** "Facilement disponible" signifie que les techniciens peuvent accéder facilement à la POS à la paillasse ou à proximité, sous forme électronique ou papier, et que les informations recherchées se trouvent facilement dans la POS, sans être noyée au dans un document trop vaste, et sont écrites une langue que ceux qui utilisent la POS peuvent lire couramment.</t>
  </si>
  <si>
    <t>** "Fácilmente disponible" significa que los técnicos pueden acceder fácilmente al POE desde la poyata o cerca de ella, ya sea en forma electrónica o en papel, y que la información buscada se encuentra fácilmente dentro del POE, no está diluida en un documento más grande y está escrita en un lenguaje que aquellos que usan el POE pueden leer con fluidez.</t>
  </si>
  <si>
    <t xml:space="preserve">** "Facilmente disponível" significa que os técnicos podem facilmente ter aceso ao POP  na/ou perto da bancada, quer em formato eletrônico ou em papel, e que a informação procurada é facilmente localizada dentro do POP, não está diluída em um documento maior, e está escrito em uma linguagem que aqueles que utilizam o POP podem ler fluentemente. </t>
  </si>
  <si>
    <t xml:space="preserve">STAPHYLOCOCCUS AUREUS, MÉTHODES CLES D'IDENTIFICATION </t>
  </si>
  <si>
    <t>STAPHYLOCOCCUS AUREUS, MÉTODOS CLAVE DE IDENTIFICACIÓN</t>
  </si>
  <si>
    <r>
      <t>Catalase (H</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2</t>
    </r>
    <r>
      <rPr>
        <sz val="10"/>
        <color theme="1"/>
        <rFont val="Calibri"/>
        <family val="2"/>
        <scheme val="minor"/>
      </rPr>
      <t>)</t>
    </r>
  </si>
  <si>
    <r>
      <t>Catalasa (H</t>
    </r>
    <r>
      <rPr>
        <vertAlign val="subscript"/>
        <sz val="10"/>
        <color theme="1"/>
        <rFont val="Calibri"/>
        <family val="2"/>
        <scheme val="minor"/>
      </rPr>
      <t>2</t>
    </r>
    <r>
      <rPr>
        <sz val="10"/>
        <color theme="1"/>
        <rFont val="Calibri"/>
        <family val="2"/>
        <scheme val="minor"/>
      </rPr>
      <t>O</t>
    </r>
    <r>
      <rPr>
        <vertAlign val="subscript"/>
        <sz val="10"/>
        <color theme="1"/>
        <rFont val="Calibri"/>
        <family val="2"/>
        <scheme val="minor"/>
      </rPr>
      <t>2</t>
    </r>
    <r>
      <rPr>
        <sz val="10"/>
        <color theme="1"/>
        <rFont val="Calibri"/>
        <family val="2"/>
        <scheme val="minor"/>
      </rPr>
      <t>)</t>
    </r>
  </si>
  <si>
    <t>Is this reagent used to test patient isolates? (If No, select NA for the remaining questions about this reagent)</t>
  </si>
  <si>
    <t>Ce réactif est-il utilisé pour tester les isolats de patients? (Si non, sélectionnez NA pour les questions restantes à propos de ce réactif)</t>
  </si>
  <si>
    <t>¿Está en uso este reactivo para analizar los aislamientos de los pacientes? (En caso negativo, seleccione NA para las preguntas restantes sobre este reactivo)</t>
  </si>
  <si>
    <t>Este reagente está em uso para testar isolados de pacientes? (Se não, selecionar NA para as perguntas restantes sobre este reagente)</t>
  </si>
  <si>
    <t>Has an up-to-date SOP been fully implemented?* (If the reagent is in use but there is no SOP, answer "no" to all remaining questions about this reagent)</t>
  </si>
  <si>
    <t>Une POS à jour a-t-elle été entièrement mise en oeuvre? * (Si le réactif est utilisé mais qu'il n'y a pas de POS, répondez "non" à toutes les questions restantes concernant ce réactif)</t>
  </si>
  <si>
    <t>¿Hay un POE actualizado  que esté completamente implementado? * (Si el reactivo está en uso pero no hay POE, responda "no" a todas las preguntas restantes sobre este reactivo)</t>
  </si>
  <si>
    <t>Existe um POP atualizado totalmente implementado? * (Se o reagente está em uso, mas não há POP, responder "não" a todas as perguntas restantes sobre este reagente)</t>
  </si>
  <si>
    <t>Is the SOP readily available** to bench staff?</t>
  </si>
  <si>
    <t>La POS est-elle facilement disponible ** pour le personnel à la paillasse?</t>
  </si>
  <si>
    <t>¿Está el POE fácilmente disponible ** para el personal que trabaja en la poyata?</t>
  </si>
  <si>
    <t>O POP está facilmente disponível ** ao pessoal de bancada do laboratório?</t>
  </si>
  <si>
    <t>Does the SOP define QC organisms, QC frequency, and expected QC results?</t>
  </si>
  <si>
    <t>La POS définit-elle les organismes de contrôle de la qualité, la fréquence de contrôle et les résultats de contrôle attendus?</t>
  </si>
  <si>
    <t>¿Define el POE los organismos para el CC, frecuencia del CC y resultados de CC esperados?</t>
  </si>
  <si>
    <t>O POP define os organismos de CQ, a frequência de CQ, e os resultados esperados do CQ?</t>
  </si>
  <si>
    <t>Does the SOP provide stepwise instructions for how to perform the test correctly?</t>
  </si>
  <si>
    <t>La POS fournit-elle des instructions étape par étape sur la manière de réaliser l'analyse correctement?</t>
  </si>
  <si>
    <t>¿Proporciona el POE instrucciones sobre cómo realizar la prueba correctamente paso a paso ?</t>
  </si>
  <si>
    <t>O POP fornece instruções passo a passo de como realizar o teste corretamente?</t>
  </si>
  <si>
    <t>Does the SOP provide stepwise instructions for interpreting the test result correctly?</t>
  </si>
  <si>
    <t>La POS fournit-elle des instructions étape par étape pour interpréter correctement le résultat de l'analyse?</t>
  </si>
  <si>
    <t>¿Proporciona el POE instrucciones sobre cómo interpretar los resultados paso a paso?</t>
  </si>
  <si>
    <t>O POP fornece instruções passo a passo de como interpretar o resultado do teste corretamente?</t>
  </si>
  <si>
    <t>Is catalase testing performed prior to coagulase testing on suspected Staphylococcus isolates?</t>
  </si>
  <si>
    <t>Le test de la catalase est-il effectué avant le test de la coagulase sur des isolats suspects d'être des Staphylococcus?</t>
  </si>
  <si>
    <t>¿Se realiza la prueba de catalasa antes de la prueba de la coagulasa en aislados sospechosos de estafilococo?</t>
  </si>
  <si>
    <t>A prova da catalase é  realizada antes da prova da coagulase nos isolados suspeitos de estafilococos?</t>
  </si>
  <si>
    <t>1: Always - 2:  Sometimes - 3: Never</t>
  </si>
  <si>
    <t>1: toujours - 2: parfois - 3: jamais</t>
  </si>
  <si>
    <t>1: siempre - 2: a veces - 3: nunca</t>
  </si>
  <si>
    <t>1: Sempre - 2: Às vezes - 3: Nunca</t>
  </si>
  <si>
    <t>What is the source of the plasma used for coagulase testing?</t>
  </si>
  <si>
    <t>Quelle est la source du plasma utilisé pour le test de la coagulase?</t>
  </si>
  <si>
    <t>¿Cuál es el origen del plasma utilizado para las pruebas de la coagulasa?</t>
  </si>
  <si>
    <t>Qual é a origem do plasma utilizado para testes de coagulase?</t>
  </si>
  <si>
    <t xml:space="preserve">1: Commercially purchased rabbit plasma – 2: Locally bled rabbit – 3: Human plasma – 4: Other source (please describe in comments) </t>
  </si>
  <si>
    <t>1: Plasma de lapin acheté dans le commerce - 2: Lapin saigné localement - 3: Plasma humain - 4: Autre source (veuillez préciser dans les commentaires)</t>
  </si>
  <si>
    <t>1: plasma de conejo comercial - 2: conejo sangrado localmente - 3: plasma humano - 4: otra fuente (por favor describa en los comentarios)</t>
  </si>
  <si>
    <t xml:space="preserve">1: Plasma de Coelho Comercialmente Adquirido - 2: Coelho Sangrado Localmente - 3:Plasma humano - 4: Outra fonte (por favor descreva nos comentários) </t>
  </si>
  <si>
    <t>Are negative slide coagulase results confirmed with a tube coagulase test before being reported?</t>
  </si>
  <si>
    <t>Les résultats de  coagulase sur lame sont-ils confirmés par un test de la coagulase sur tube avant d'être signalés?</t>
  </si>
  <si>
    <t>¿Se confirman los resultados negativos de la prueba de la coagulasa en porta con una prueba de coagulasa en tubo antes de notificar?</t>
  </si>
  <si>
    <t>Os resultados negativos de coagulase em lâmina são confirmados com um teste de coagulase em tubo antes de serem relatados?</t>
  </si>
  <si>
    <t>1: Always 2:  Sometimes 3: Never; NA, lab does not perform slide coagulase testing</t>
  </si>
  <si>
    <t>1: toujours 2: parfois 3: jamais; NA, le laboratoire n'effectue pas de test de coagulase sur lame</t>
  </si>
  <si>
    <t>1: siempre 2: a veces 3: nunca; NA, el laboratorio no realiza pruebas de la coagulasa en porta</t>
  </si>
  <si>
    <t>1: Sempre 2: Às vezes 3: Nunca; NA, o laboratório não realiza  testes de coagulase em lâmina</t>
  </si>
  <si>
    <t>Agglutinationdu staphylocoque sur latex</t>
  </si>
  <si>
    <t>Are disposable reaction cards discarded after use (not reused)?</t>
  </si>
  <si>
    <t>Les cartes jetables utilisées pour la réaction sont-elles jetées après utilisation (non réutilisées)?</t>
  </si>
  <si>
    <t>¿Se retiran las tarjetas desechables después del uso (no se reutilizan)?</t>
  </si>
  <si>
    <t>Os cartões descartáveis ​​para reação são descartados após o uso (e não reutilizados)?</t>
  </si>
  <si>
    <t>1: Always - 2:  Sometimes - 3: No - NA, lab does not use latex agglutination to identify Staph</t>
  </si>
  <si>
    <t>1: Toujours - 2: Parfois - 3: Non - NA, le laboratoire n'utilise pas d'agglutination sur latex pour identifier les staphylocoques</t>
  </si>
  <si>
    <t>1: Siempre - 2: A veces - 3: No - NA, el laboratorio no usa aglutinación de látex para identificar estafilococos</t>
  </si>
  <si>
    <t>1: Sempre - 2: Às vezes - 3: Não - NA, o laboratório não utiliza aglutinação em látex para identificar estafilococos</t>
  </si>
  <si>
    <t>Gélose chromogène staphylocoque</t>
  </si>
  <si>
    <t>Meio CHROMagar para a identificação de estafilococos</t>
  </si>
  <si>
    <t>STREPTOCOCCUS NEUMONIAE, MÉTODOS DE IDENTIFICACIÓN CONVENCIONALES</t>
  </si>
  <si>
    <t>STREPTOCOCCUS PNEUMONIAE, MÉTODOS DE IDENTIFICAÇÃO CONVENCIONAIS</t>
  </si>
  <si>
    <t>Optochin (“P”) disk</t>
  </si>
  <si>
    <t>Disque Optochin («P»)</t>
  </si>
  <si>
    <t xml:space="preserve">Disco de Optoquina ( “P”) </t>
  </si>
  <si>
    <t>If the Optochin result is equivocal (9-13mm), is bile solubility or other additional testing performed to confirm the ID?</t>
  </si>
  <si>
    <t>Si le résultat d l'Optochine est équivoque (9-13 mm), une solubilité dans la bile ou d'autres tests supplémentaires sont-ils effectués pour confirmer l'identification?</t>
  </si>
  <si>
    <t>Si el resultado de Optoquina es dudoso (9-13 mm), ¿se realiza la prueba de solubilidad en bilis u otras pruebas adicionales para confirmar la identificación?</t>
  </si>
  <si>
    <t>Se o resultado Optoquina é duvidoso (9-13mm), a solubilidade em bile ou outro teste adicional é realizado para confirmar a identificação?</t>
  </si>
  <si>
    <t>Streptococcus pneumoniae latex agglutination</t>
  </si>
  <si>
    <t>Agglutination sur latex du pneumocoque</t>
  </si>
  <si>
    <t>Aglutinación de látex para Streptococcus pneumoniae</t>
  </si>
  <si>
    <t>Aglutinação em látex para Streptococcus pneumoniae</t>
  </si>
  <si>
    <t>ENTEROBACTERIACEAE, MÉTODOS DE ID CONVENCIONALES</t>
  </si>
  <si>
    <t>ENTEROBACTERIACEAE, MÉTODOS DE ID CONVENCIONAIS</t>
  </si>
  <si>
    <t>Indol</t>
  </si>
  <si>
    <t>Rouge méthyle</t>
  </si>
  <si>
    <t>Is this reagent used to test patient isolates? (If No, select N/A for the remaining questions about this reagent)</t>
  </si>
  <si>
    <t>Ce réactif est-il utilisé dans votre laboratoire? (Si non, sélectionnez N / A pour les questions restantes à propos de ce réactif)</t>
  </si>
  <si>
    <t>¿Está en uso este reactivo en su laboratorio? (En caso negativo, seleccione N/A para las preguntas restantes sobre este reactivo)</t>
  </si>
  <si>
    <t>Este reagente está em uso em seu laboratório? (Se não, selecionar N/A para as perguntas restantes sobre este reagente)</t>
  </si>
  <si>
    <t>une POS à jour a-t-elle été entièrement mise en oeuvre? * (Si le réactif est utilisé mais qu'il n'y a pas de POS, répondez "non" à toutes les questions restantes concernant ce réactif)</t>
  </si>
  <si>
    <t>Does the SOP provide stepwise instructions for inoculation and incubation?</t>
  </si>
  <si>
    <t>la POS fournit-elle des instructions détaillées pour l'inoculation et l'incubation?</t>
  </si>
  <si>
    <t>¿Proporciona el POE instrucciones sobre cómo realizar la inoculación y la incubación paso a paso ?</t>
  </si>
  <si>
    <t>O POP fornece instruções passo a passo sobre como realizar a inoculação e incubação?</t>
  </si>
  <si>
    <t>Does the SOP provide stepwise instructions for reading and interpretation?</t>
  </si>
  <si>
    <t>la POS fournit-elle des instructions étapes par étape pour la lecture et l’interprétation?</t>
  </si>
  <si>
    <t>¿Proporciona el POE instrucciones sobre cómo realizar la lectura e interpretación paso a paso?</t>
  </si>
  <si>
    <t>O POP fornece instruções passo a passo sobre como realizar a leitura e a interpretação?</t>
  </si>
  <si>
    <t>Triple Sugar Iron (TSI) or Kligler Iron Agar (KIA)</t>
  </si>
  <si>
    <t>Gélose Triple Sucre-Fer (TSI) ou gélose au fer de Kligler (KIA)</t>
  </si>
  <si>
    <t xml:space="preserve">Agar Hierro-Triple-Azúcar (TSI) o agar de Hierro de Kligler (KIA) </t>
  </si>
  <si>
    <t>Agar Tríplice Açúcar Ferro (TSI) ou Agar Ferro de KLIGLER (KIA)</t>
  </si>
  <si>
    <t>L'uréase</t>
  </si>
  <si>
    <t>Lysine Iron Agar (LIA) or Lysine Decarboxylase (LDC)</t>
  </si>
  <si>
    <t>Gélose à la lysine et fer (GLF) ou lysine décarboxylase (LDC)</t>
  </si>
  <si>
    <t>Agar Lisina Hierro (LIA) o lisina descarboxilasa (LDC)</t>
  </si>
  <si>
    <t>SEROLOGÍA SHIGELLA / SALMONELLA</t>
  </si>
  <si>
    <t>SOROLOGIA PARA SHIGELLA / SOROLOGIA</t>
  </si>
  <si>
    <t>Serología Shigella</t>
  </si>
  <si>
    <t>Sorologia Shigella</t>
  </si>
  <si>
    <t>Sérologie de salmonelle</t>
  </si>
  <si>
    <t>Sorologia Salmonella</t>
  </si>
  <si>
    <t>ACINETOBACTER SPP, MÉTODOS DE ID CONVENCIONALES</t>
  </si>
  <si>
    <t>ACINETOBACTER SPP, MÉTODOS DE ID CONVENCIONAIS</t>
  </si>
  <si>
    <t>Glucose Oxidative-Fermentative (OF) test</t>
  </si>
  <si>
    <t>Test d'oxydation-fermentation par glucose (OF)</t>
  </si>
  <si>
    <t>Prueba de oxidación-fermentación (OF) de la glucosa</t>
  </si>
  <si>
    <t xml:space="preserve">Prova de oxidação-fermentação (OF) da Glicose </t>
  </si>
  <si>
    <t>Redução de nitrato</t>
  </si>
  <si>
    <t>METHODES D'IDENTIFICATION PAR TROUSSE</t>
  </si>
  <si>
    <t>MÉTODOS DE ID BASEADOS EM KITS</t>
  </si>
  <si>
    <t xml:space="preserve"> If the lab uses rapid biochemical kits for organism ID (e.g., API, Liofilchem, RapID), does the SOP for each kit contain the following information? (If kits are not used, select "NA", if kits are used but there is no SOP, select "No")</t>
  </si>
  <si>
    <t> Si le laboratoire utilise des trousses biochimiques rapides pour l'identification des organismes (par exemple, API, Liofilchem, RapID), la POS de chaque trousse contient-elle les informations suivantes? (Si les trousses ne sont pas utilisées, sélectionnez "NA", si les trousses sont utilisées mais qu'il n'y a pas de POS, sélectionnez "Non")</t>
  </si>
  <si>
    <t> Si el laboratorio utiliza kits bioquímicos rápidos para la identificación del organismo (Ej., API, Liofilchem, RapID), ¿contiene el POE para cada kit la siguiente información? (Si no se usan kits, marque "NA", si se usan kits pero no hay POE, marque "No")</t>
  </si>
  <si>
    <t>Se o laboratório utiliza kits bioquímicos rápidos para a identificação do organismo (Ex., API, Liofilchem, RapID), o POP para cada kit contém a informação seguinte? (Se kits não são usados, selecione "NA", se forem utilizados mas não há POP, selecione "Não")</t>
  </si>
  <si>
    <t>Defined QC organisms, QC frequency, and expected QC results</t>
  </si>
  <si>
    <t>Organismes utlilsés pour le contrôle de la qualité, fréquence de contrôle et résultats de contrôle attendus</t>
  </si>
  <si>
    <t>Organismos definidos para el CC, frecuencia del CC y resultados de CC esperados</t>
  </si>
  <si>
    <t>Organismos definidos para CQ, frequência de CQ, e os resultados esperados do CQ</t>
  </si>
  <si>
    <t>Stepwise instructions for preparing the inoculum in the correct liquid medium and at the correct density</t>
  </si>
  <si>
    <t>Instructions étape par étape pour préparer l'inoculum dans le bon milieu liquide et à la bonne densité</t>
  </si>
  <si>
    <t>Instrucciones sobre cómo preparar paso a paso el inóculo en el medio de cultivo líquido correcto y en la densidad correcta.</t>
  </si>
  <si>
    <t>Instruções passo a passo para a preparação do inoculo no meio líquido correto e na densidade correta</t>
  </si>
  <si>
    <t>Stepwise instructions on how to inoculate and incubate the device</t>
  </si>
  <si>
    <t>Instructions étape par étape sur la façon d'inoculer et d'incuber le dispositif</t>
  </si>
  <si>
    <t>Instrucciones sobre cómo inocular e incubar el dispositivo paso a paso</t>
  </si>
  <si>
    <t>Instruções passo a passo sobre como inocular e incubar o dispositivo</t>
  </si>
  <si>
    <t>Stepwise instructions on how to read the results, including use of additional reagents if necessary</t>
  </si>
  <si>
    <t>Instructions étape par étape sur la façon de lire les résultats, y compris l'utilisation de réactifs supplémentaires si nécessaire</t>
  </si>
  <si>
    <t>Instrucciones sobre cómo leer los resultados paso a paso, incluido el uso de reactivos adicionales en caso de ser necesario</t>
  </si>
  <si>
    <t>Instruções passo a passo sobre como ler os resultados, incluindo o uso de reagentes adicionais se necessário</t>
  </si>
  <si>
    <t>Clear guidance on interpreting results and recognizing unacceptable results</t>
  </si>
  <si>
    <t>Des directives claires sur l'interprétation des résultats et la reconnaissance des résultats non conformes</t>
  </si>
  <si>
    <t>Instrucciones claras sobre la interpretación de resultados y cómo reconocer resultados inaceptables.</t>
  </si>
  <si>
    <t>Instruções claras sobre como interpretar os resultados e reconhecer resultados inaceitáveis</t>
  </si>
  <si>
    <t>1: Yes - 2: Partial - 3: No - NA: lab does not use rapid biochemical kits</t>
  </si>
  <si>
    <t>1: Oui - 2: Partiel - 3: Non - NA: le laboratoire n'utilise pas de trousses biochimiques rapides</t>
  </si>
  <si>
    <t>1: Sí - 2: Parcial - 3: No - NA: el laboratorio no utiliza kits bioquímicos rápidos</t>
  </si>
  <si>
    <t xml:space="preserve">1: Sim - 2: Parcial - 3: Não - NA: laboratório não utiliza kits bioquímicos rápidos </t>
  </si>
  <si>
    <t>Are the SOPs available in a language that the technologists can read proficiently?</t>
  </si>
  <si>
    <t>Les POS sont-elles disponibles dans une langue que les techniciens sont capables de lire couramment?</t>
  </si>
  <si>
    <t>¿Están los POE disponibles en un idioma que los técnicos puedan leer con fluidez?</t>
  </si>
  <si>
    <t>Os POPs estão disponíveis em uma linguagem que os técnicos são capazes de ler fluentemente?</t>
  </si>
  <si>
    <t xml:space="preserve">Is the lab using the inoculation media recommended by the manufacturer? </t>
  </si>
  <si>
    <t>Le laboratoire utilise-t-il le milieu d'inoculation recommandé par le fabricant?</t>
  </si>
  <si>
    <t>¿Utiliza el laboratorio los medios de inoculación recomendados por el fabricante?</t>
  </si>
  <si>
    <t xml:space="preserve">O laboratório utiliza os meios de inoculação recomendados pelo fabricante? </t>
  </si>
  <si>
    <t>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t>
  </si>
  <si>
    <t>Après l'inoculation du dispositif, le laboratoire utilise-t-il l'inoculum restant pour ensemenser une boîte de pureté? (Une boîte de pureté est un repiquager de l'inoculum qui est conçu pour garantir que l'inoculum ne soit ni mélangé ni contaminé; généralement ensemencé comme les échantillons d'urine pour permettre la visualisation des colonies individuaalisées et dont la pureté est contrôlée lors de la lecture des résultats)</t>
  </si>
  <si>
    <t>Después de la inoculación del dispositivo, ¿utiliza el laboratorio el inóculo restante para hacer una placa de pureza? (Una placa de pureza es un subcultivo del inóculo que se hace para garantizar que éste no estuviera mezclado ni contaminado; generalmente se siembra como la orina para garantizar la visualización de las colonias individuales y se verifica su pureza al leer los resultados)</t>
  </si>
  <si>
    <t>Após a inoculação do dispositivo, o laboratório utiliza o inóculo restante para fazer uma placa de pureza? (Uma placa de pureza é uma subcultura do inoculo que é feito para assegurar o mesmo  não estava misturado ou contaminado, geralmente se semeia como urina para garantir a visualização de colônias individuais e  verificar a sua pureza ao ler os resultados)</t>
  </si>
  <si>
    <t xml:space="preserve">Following incubation, are all supplemental reagents available and added according to manufacturer instructions? (e.g., VP1 &amp; 2 for API) </t>
  </si>
  <si>
    <t>Après l’incubation, tous les réactifs supplémentaires sont-ils disponibles et ajoutés conformément aux instructions du fabricant? (par exemple, VP1 &amp; 2 pour API)</t>
  </si>
  <si>
    <t>Después de la incubación, ¿están todos los reactivos suplementarios disponibles y se agregan de acuerdo con las instrucciones del fabricante? (por ejemplo, VP1 y 2 para API)</t>
  </si>
  <si>
    <t>Após a incubação, todos os reagentes suplementares estão disponíveis e são adicionados de acordo com as instruções do fabricante? (ex. VP1 e 2 para API)</t>
  </si>
  <si>
    <t>Are the databases used to interpret the kit results (bionumbers) up to date?</t>
  </si>
  <si>
    <t>Les bases de données utilisées pour interpréter les résultats de la trousse (numéros "bionumber") sont-elles à jour?</t>
  </si>
  <si>
    <t>¿Están actualizadas las bases de datos usadas para interpretar los resultados del kit (bionumbers)?</t>
  </si>
  <si>
    <t>As bases  de dados utilizadas ​​para interpretar os resultados do kit (bionumbers) estão atualizadas?</t>
  </si>
  <si>
    <t>When an ID result (bionumber) does not reach the threshold for an acceptable identification, is there evidence that appropriate action is taken, such as repeating the test by another method or performing additional biochemical tests?</t>
  </si>
  <si>
    <t>Lorsqu'un résultat d'identification (bionumber) n'atteint pas le seuil requis pour une identification acceptable, existe-t-il des preuves que des mesures appropriées sont prises, telles que la répétition du test par une autre méthode ou la réalisation de tests biochimiques supplémentaires?</t>
  </si>
  <si>
    <t>Cuando un resultado de ID (bionumber) no alcanza el umbral para una identificación aceptable, ¿hay evidencia de que se toman las medidas apropiadas, tales como repetir la prueba con otro método o realizar pruebas bioquímicas adicionales?</t>
  </si>
  <si>
    <t>Quando um resultado de ID (bionumber) não atinge o limiar para uma identificação aceitável, há evidência de que são tomadas medidas adequadas, tal como a repetição do teste por outro método, ou a realização de testes bioquímicos adicionais?</t>
  </si>
  <si>
    <t>MÉTHODES D'IDENTIFICATION AUTOMATISÉEs</t>
  </si>
  <si>
    <t>If the lab uses automated methods for organism ID (e.g., Vitek, Microscan, Phoenix), do the SOPs contain the following information? (User manuals provided by the manufacturer are not considered SOPs)</t>
  </si>
  <si>
    <t>Si le laboratoire utilise des méthodes automatisées d'identification des organismes (Vitek, Microscan, Phoenix, par exemple), les POS contiennent-elles les informations suivantes? (Les manuels d'utilisation fournis par le fabricant ne sont pas considérés comme des POS)</t>
  </si>
  <si>
    <t>Si el laboratorio utiliza métodos automatizados para la identificación de organismos (Ej., Vitek, Microscan, Phoenix), ¿contienen los POE la siguiente información? (Los manuales de usuario proporcionados por el fabricante no se consideran POEs)</t>
  </si>
  <si>
    <t>Se o laboratório utiliza métodos automatizados para a identificação de organismos (Ex. Vitek, Microscan, Phoenix), os POPs contem as seguintes informações? (Os Manuais do usuário fornecidos pelo fabricante não são considerados POPs)</t>
  </si>
  <si>
    <t>Organismes utilisés pour le contrôle de la qualité, fréquence de contrôle et résultats de contrôle attendus</t>
  </si>
  <si>
    <t>Organismos de CC definidos, frecuencia de CC y resultados de CC esperados</t>
  </si>
  <si>
    <t>Instruccones claras sobre la interpretación de resultados y cómo reconocer resultados inaceptables.</t>
  </si>
  <si>
    <t>1: Yes; 2: Partial; 3: No; NA: automated methods are not used</t>
  </si>
  <si>
    <t>1: oui; 2: partiel; 3: non; NA: les méthodes automatisées ne sont pas utilisées</t>
  </si>
  <si>
    <t>1: sí; 2: parcial; 3: no; NA: no se utilizan métodos automatizados</t>
  </si>
  <si>
    <t>1: Sim - 2: Parcial - 3: Não - NA: laboratório não utiliza métodos automatizados</t>
  </si>
  <si>
    <t>Is the SOP available in a language that the technologists using the instrument can read proficiently?</t>
  </si>
  <si>
    <t>Os POPs estão disponíveis em uma linguagem que os técnicos que usam o instrumento são capaz de ler fluentemente?</t>
  </si>
  <si>
    <t xml:space="preserve">Is the lab using the inoculation medium recommended by the manufacturer? </t>
  </si>
  <si>
    <t>O laboratório utiliza os meios de inoculação recomendados pelo fabricante?</t>
  </si>
  <si>
    <t>Following card/tray inoculation, does the lab use the remaining inoculum to make a purity plate?</t>
  </si>
  <si>
    <t>Après l’inoculation de la carte / plaque, le laboratoire utilise-t-il l’inoculum restant pour préparer une boite de pureté?</t>
  </si>
  <si>
    <t>Después de la inoculación de la tarjeta / bandeja, ¿utiliza el laboratorio el inóculo restante para hacer una placa de pureza?</t>
  </si>
  <si>
    <t>Após a inoculação do cartão/bandeja, o laboratório utiliza o inóculo restante para fazer uma placa de pureza?</t>
  </si>
  <si>
    <t>A purity plate is a light subculture of the inoculum that is made to ensure the inoculum was not mixed or contaminated; usually streaked like a urine to ensure visualization of individual colonies and checked for purity when reading results. BAP is typically used.</t>
  </si>
  <si>
    <t>Une boîte de pureté est un repiquager de l'inoculum qui est conçu pour garantir que l'inoculum ne soit ni mélangé ni contaminé; généralement ensemencé comme les échantillons d'urine pour permettre la visualisation des colonies individuaalisées et dont la pureté est contrôlée lors de la lecture des résultats. Une GS est généralement utilisée.</t>
  </si>
  <si>
    <t>Una placa de pureza es un subcultivo del inóculo que se hace para garantizar que éste no estuviera mezclado ni contaminado; generalmente se siembra como la orina para garantizar la visualización de las colonias individuales y se verifica su pureza al leer los resultados. Generalmente se usa BAP.</t>
  </si>
  <si>
    <t xml:space="preserve"> Uma placa de pureza é uma subcultura do inóculo que é feito para assegurar o mesmo  não estava misturado ou contaminado, geralmente se semeia como urina para garantir a visualização de colônias individuais e  verificar a sua pureza ao ler os resultados. Geralmente se usa BAP</t>
  </si>
  <si>
    <t>When the instrument software flags an ID result as questionable, is there evidence that appropriate action is taken, such as repeating the test by another method or performing additional biochemical tests?</t>
  </si>
  <si>
    <t>Lorsque le logiciel de l'automate signale un résultat d'identification comme étant discutable, existe-t-il des preuves que des mesures appropriées sont prises, telles que la répétition du test par une autre méthode ou la réalisation de tests biochimiques supplémentaires?</t>
  </si>
  <si>
    <t>Cuando el software del instrumento marca un resultado de ID como dudoso, ¿hay evidencia de que se toman las medidas apropiadas, como repetir la prueba con otro método o realizar pruebas bioquímicas adicionales?</t>
  </si>
  <si>
    <t>Quando o software do instrumento  marca um resultado de ID como duvidoso, há evidência de que são tomadas medidas adequadas, tal como a repetição do teste por outro método, ou a realização de testes bioquímicos adicionais?</t>
  </si>
  <si>
    <t>FLUJOS DE IDENTIFICACIÓN</t>
  </si>
  <si>
    <t xml:space="preserve">FLUXOGRAMAS DE IDENTIFICAÇÃO </t>
  </si>
  <si>
    <t xml:space="preserve">When the primary plate has mixed colony types, is it standard practice to subculture each colony of interest to a fresh plate to ensure purity prior to pursuing identification? </t>
  </si>
  <si>
    <t>Lorsque la boite de départ contient plusieurs types de colonies, est-il habituel de subcultiver chaque colonie présentant un intérêtsur une nouvelle gélose afin de garantir sa pureté avant de poursuivre l'identification?</t>
  </si>
  <si>
    <t>Cuando la placa primaria tiene cultivos mixtos, ¿es una práctica estándar subcultivar cada colonia de interés en una placa nueva para garantizar la pureza antes de proseguir con la identificación?</t>
  </si>
  <si>
    <t xml:space="preserve">Quando a placa primária apresenta culturas mistas, é uma prática comum realizar a subcultura de cada colônia de interesse para uma placa fresca para assegurar a pureza antes de prosseguir com a  identificação? </t>
  </si>
  <si>
    <t>Is it standard practice to perform a Gram stain on each isolate of interest prior to performing any other testing?</t>
  </si>
  <si>
    <t>Existe-t-il une pratique standard consistant à effectuer une coloration de Gram sur chaque isolat d’intérêt avant de procéder à tout autre test?</t>
  </si>
  <si>
    <t>¿Es una práctica estándar realizar una tinción de Gram en cada aislamiento de interés antes de realizar cualquier otra prueba?</t>
  </si>
  <si>
    <t>É prática comum fazer a coloração de Gram de cada isolado de interesse antes de se realizar quaisquer outros testes?</t>
  </si>
  <si>
    <t>For gram-negative bacilli, is it standard practice to perform an oxidase test first, before proceeding with any other identification tests (including automated ID)?</t>
  </si>
  <si>
    <t>En ce qui concerne les bacilles à Gram négatif, est-il habituel d'effectuer un test à l'oxydase avant de procéder à tout autre test d'identification (y compris l'identification par un automate)?</t>
  </si>
  <si>
    <t>Para los bacilos Gram negativos, ¿es una práctica estándar realizar primero una prueba de oxidasa, antes de proceder con cualquier otra prueba de identificación (incluida la identificación automática)?</t>
  </si>
  <si>
    <t>Para os bacilos Gram negativos, é prática comum realizar primeiro um teste de oxidase, antes de prosseguir com quaisquer outros testes de identificação (incluindo ID automatizada)?</t>
  </si>
  <si>
    <t>For gram-negative bacilli, is it standard practice to perform an indole test second, before proceeding with other identification tests (including automated ID)?</t>
  </si>
  <si>
    <t>Pour les bacilles à Gram négatif, est-il habituel d'effectuer un test à l'indole en deuxième intention avant de procéder à d'autres tests d'identification (y compris l'identification par un automate)?</t>
  </si>
  <si>
    <t>Para los bacilos Gram negativos, ¿es una práctica estándar realizar en segundo lugar una prueba de indol, antes de proceder con otras pruebas de identificación (incluida la identificación automática)?</t>
  </si>
  <si>
    <t>Para os bacilos Gram negativos, é prática comum realizar em segundo lugar um teste de indol, antes de prosseguir com quaisquer outros testes de identificação (incluindo ID automatizada)?</t>
  </si>
  <si>
    <t>For oxidase-negative gram-negative bacilli that do not ferment lactose (clear on MacConkey), are sufficient tests available to achieve a definitive identification?</t>
  </si>
  <si>
    <t>Pour les bacilles gram-négatifs oxydase-négatifs non-fermentant (clair sur MacConkey), existe-t-il suffisamment de tests pour obtenir une identification définitive?</t>
  </si>
  <si>
    <t>Para los bacilos Gram negativos oxidasa negativos que no fermentan la lactosa (placa MacConkey limpia), ¿hay suficientes pruebas disponibles para conseguir una identificación definitiva?</t>
  </si>
  <si>
    <t>Para os bacilos Gram negativos oxidase-negativa que não fermentam lactose (placa de MacConkey clara), existem testes  suficientes disponíveis para conseguir uma identificação definitiva?</t>
  </si>
  <si>
    <t>For oxidase-positive gram-negative bacilli that are not Pseudomonas aeruginosa (lack the characteristic appearance and odor), are sufficient tests available to achieve a definitive identification?</t>
  </si>
  <si>
    <t>Pour les bacilles gram-négatifs oxydase-positifs qui ne sont pas Pseudomonas aeruginosa (sans l'odeur caractéristique), existe-t-il suffisamment de tests pour obtenir une identification définitive?</t>
  </si>
  <si>
    <t>Para los bacilos Gram-negativos con oxidasa-positiva que no son Pseudomonas aeruginosa (carecen del olor característico), ¿hay suficientes pruebas disponibles para conseguir una identificación definitiva?</t>
  </si>
  <si>
    <t>Para os bacilos Gram-negativos oxidase-positiva que não são Pseudomonas aeruginosa (falta o odor característico), existem testes suficientes disponíveis para conseguir uma identificação definitiva?</t>
  </si>
  <si>
    <t>For gram-positive cocci, is it standard practice to perform a catalase test first, before proceeding with any other identification tests (including automated ID)?</t>
  </si>
  <si>
    <t>Pour les cocci à Gram-positif, est-il habituel de commencer par effectuer un test à la catalase avant de procéder à tout autre test d'identification (y compris l'identification par un automate)?</t>
  </si>
  <si>
    <t>Para los cocos gram-positivos, ¿es una práctica estándar realizar primero una prueba de catalasa, antes de proceder con cualquier otra prueba de identificación (incluida la identificación automática)?</t>
  </si>
  <si>
    <t>Para cocos gram-positivos, é prática comum realizar primeiro uma prova de catalase antes de prosseguir com quaisquer outros testes de identificação (incluindo ID automatizada)?</t>
  </si>
  <si>
    <t>For catalase-positive gram-positive cocci, is it standard practice to perform a coagulase test next, before proceeding with other identification tests (including automated ID)?</t>
  </si>
  <si>
    <t>Pour les cocci à Gram-positif et positifs pour la catalase, est-il habituel d'effectuer un test de coagulase avant de procéder à d'autres tests d'identification (y compris l'identification automatisée)?</t>
  </si>
  <si>
    <t>Para los cocos gram-positivos catalasa-positivos, ¿es una práctica estándar realizar a continuación una prueba de la coagulasa, antes de proceder con otras pruebas de identificación (incluida la identificación automática)?</t>
  </si>
  <si>
    <t>Para cocos gram-positivos, catalase-positivos, é prática comum realizar depois uma prova de coagulase antes de prosseguir com  outros testes de identificação (incluindo ID automatizada)?</t>
  </si>
  <si>
    <t>For catalase-negative gram-positive cocci, is it standard practice to evaluate the type of hemolysis (alpha, beta, gamma), before proceeding with other identification tests (including automated ID)?</t>
  </si>
  <si>
    <t>Pour les cocci à Gram-positif et négatifs pour la catalase, est-il courant d'évaluer le type d'hémolyse (alpha, bêta, gamma) avant de procéder à d'autres tests d'identification (y compris l'identification automatisée)?</t>
  </si>
  <si>
    <t>Para los cocos Gram-positivos catalasa=negativos, ¿es una práctica estándar evaluar el tipo de hemólisis (alfa, beta, gamma), antes de proceder con otras pruebas de identificación (incluida la identificación automática)?</t>
  </si>
  <si>
    <t>Para cocos Gram-positivos catalase-negativos, é prática comum avaliar o tipo de hemólise (alfa, beta, gama), antes de prosseguir com outros testes de identificação (incluindo ID automatizado)?</t>
  </si>
  <si>
    <t>Fully implemented*, up-to-date SOP is in place</t>
  </si>
  <si>
    <t>Complètement mis en œuvre *, une POS à jour est en place</t>
  </si>
  <si>
    <t>Completamente implementado *, POE actualizado y vigente</t>
  </si>
  <si>
    <t xml:space="preserve">Totalmente implementado *, POP atualizado e vigente </t>
  </si>
  <si>
    <t>El POE está fácilmente disponible ** para el personal que trabaja en la poyata</t>
  </si>
  <si>
    <t>O POP está facilmente disponível ** ao pessoal que trabalha na bancada</t>
  </si>
  <si>
    <t>la POS définit les organismes utilisés pour le contrôle de la qualité, la fréquence et les résultats attendus</t>
  </si>
  <si>
    <t>El POE define los organismos para el CC, frecuencia del CC y resultados de CC esperados</t>
  </si>
  <si>
    <t>O POP define os organismos de CQ, frequência de CQ e resultados esperados do CQ</t>
  </si>
  <si>
    <t>la POS fournit des instructions étape par étape pour la réalisation du test</t>
  </si>
  <si>
    <t>El POE proporcona instrucciones paso a paso para realizar la prueba</t>
  </si>
  <si>
    <t>O POP fornece instruções passo a passo para realizar  o teste</t>
  </si>
  <si>
    <t>La POS fournit des instructions pas à pas pour l'interprétation du test</t>
  </si>
  <si>
    <t xml:space="preserve">El POE proporciona instrucciones sobre cómo realizar la interpretación de la prueba paso a paso </t>
  </si>
  <si>
    <t>11- ANTIMICROBIAL SUSCEPTIBILITY TESTING (AST) BASICS</t>
  </si>
  <si>
    <t>11- FONDAMENTAUX POUR LE TEST DE SENSIBILITE AUX ANTIMICROBIENS (TSA)</t>
  </si>
  <si>
    <t xml:space="preserve">11- ASPECTOS BÁSICOS DE PRUEBAS DE SENSIBILIDAD ANTIMICROBIANA (PSA) </t>
  </si>
  <si>
    <t xml:space="preserve">11- ASPECTOS BÁSICOS DOS TESTES DE SENSIBILIDADE ANTIMICROBIANA (TSA) </t>
  </si>
  <si>
    <t>Atenção: todas as perguntas se referem apenas a isolados clínicos de pacientes, NÃO para isolados de pesquisa ou ambientais</t>
  </si>
  <si>
    <t>CONSERVATION DES DISQUES ANTIBIOTIQUES ET DE BANDELETTES GRADUEES</t>
  </si>
  <si>
    <t>MANTENIMIENTO DE LOS DISCOS Y TIRAS DE GRADIENTE CON ANTIBIÓTICO</t>
  </si>
  <si>
    <t>MANUTENÇÃO DOS DISCOS E TIRAS DE GRADIENTE COM ANTIBIÓTICOS</t>
  </si>
  <si>
    <t>Do the antibiotic disks and strips come with a certificate of analysis from the manufacturer ensuring that they were tested and performed according to ISO quality standards?</t>
  </si>
  <si>
    <t>Les disques et les bandelettes d'antibiotiques sont-ils accompagnés d'un certificat d'analyse du fabricant garantissant qu'ils ont été testés et réalisés conformément aux normes de qualité ISO?</t>
  </si>
  <si>
    <t>¿Los discos y tiras con antibióticos vienen con un certificado de análisis del fabricante en el que se garantiza que fueron probados y realizados de acuerdo con los estándares de calidad ISO?</t>
  </si>
  <si>
    <t>Os discos e tiras com antibióticos vêm com um certificado de análise do fabricante assegurando que eles foram testados e funcionaram de acordo com normas de qualidade ISO?</t>
  </si>
  <si>
    <t>Are the packages not currently in use stored unopened and in their original packaging in order to prevent moisture ingress?</t>
  </si>
  <si>
    <t>Les cartouches qui ne sont pas encours d'utilisation sont-elles stockées non ouvertes et dans leur emballage d'origine afin d'empêcher la pénétration d'humidité?</t>
  </si>
  <si>
    <t>¿Están los paquetes que no se utilizan almacenados sin abrir y en su embalaje original para evitar la entrada de humedad?</t>
  </si>
  <si>
    <t>Os pacotes não utilizados, estão armazenados fechados e em sua embalagem original para evitar a entrada de umidade?</t>
  </si>
  <si>
    <t>Are unopened antibiotic disks and strips stored in a non-defrosting freezer?</t>
  </si>
  <si>
    <t>Les disques et les bandelettes d'antibiotiques non ouverts sont-ils conservés dans un congélateur sans dégivrage?</t>
  </si>
  <si>
    <t>¿Se almacenan los discos y tiras con antibióticos sin abrir en un congelador no frost?</t>
  </si>
  <si>
    <t>Os discos e tiras com antibióticos fechados, estão armazenados em um freezer sem ciclo de desgelo?</t>
  </si>
  <si>
    <t>If the antibiotic disk cartridge has a cap, is the cap replaced each time the cartridge is opened?</t>
  </si>
  <si>
    <t>Si la cartouche de disque d'antibiotique a un capuchon, ce capuchon est-il replacé après chaque ouverture de la cartouche?</t>
  </si>
  <si>
    <t>Si el cartucho del disco con antibiótico tiene una tapa, ¿se reemplaza la tapa cada vez que se abre el cartucho?</t>
  </si>
  <si>
    <t>Se o cartucho de disco de antibiótico tem uma tampa, a tampa é substituída cada vez que o cartucho é aberto?</t>
  </si>
  <si>
    <t>Once opened, are in-use antibiotic disks stored in such a way that the lot number and expiration date of each disk is always traceable? (When individual disks are removed and transferred to secondary containers, lot numbers may become mixed and expired disks may inadvertently be used.)</t>
  </si>
  <si>
    <t>Une fois ouverts, les disques d'antibiotiques en cours d'utilisation sont-ils stockés de manière à ce que le numéro de lot et la date de péremption de chaque disque soient toujours traçables? (Lorsque des disques sont retirés et transférés dans des conteneurs secondaires, les numéros de lot peuvent être mélangés et des disques expirés peuvent être utilisés par inadvertance.)</t>
  </si>
  <si>
    <t>Una vez abiertos, ¿se almacenan los discos con antibióticos que están en uso de tal manera que pueda haber una trazabilidad del número de lote y la fecha de caducidad de cada disco? (Cuando se extraen discos individuales y se transfieren a contenedores secundarios, los números de lote pueden mezclarse y los discos caducados pueden usarse inadvertidamente).</t>
  </si>
  <si>
    <t>Uma vez abertos, os discos de antibióticos em uso, são armazenados de tal forma que o número de lote e a data de validade de cada disco é sempre rastreável? (Quando os discos individuais são removidos e transferidos para embalagens secundárias, números de lote podem se misturar e discos expirados podem ser utilizados inadvertidamente.)</t>
  </si>
  <si>
    <t xml:space="preserve">Are the in-use antibiotic disks and strips stored in a tightly sealed container with active desiccants? </t>
  </si>
  <si>
    <t>Les disques et les bandelettes d'antibiotiques en cours d'utilisation sont-ils stockés dans un récipient bien fermé contenant des agents dessicants actifs?</t>
  </si>
  <si>
    <t>¿Se almacenan los discos y tiras con antibióticos en uso en un recipiente herméticamente cerrado con desecantes activos?</t>
  </si>
  <si>
    <t xml:space="preserve">Os discos e tiras com antibióticos em uso são armazenados em um recipiente hermeticamente fechado com dissecantes ativos? </t>
  </si>
  <si>
    <t>Do the desiccants change color as moisture levels increase (indicating the need to replace or recharge)?</t>
  </si>
  <si>
    <t>Les dessiccants changent-ils de couleur à mesure que le niveau d'humidité augmente (indiquant la nécessité de les remplacer ou de les recharger)?</t>
  </si>
  <si>
    <t>¿Los desecantes cambian de color a medida que aumentan los niveles de humedad (lo que indica la necesidad de reemplazar o recargar)?</t>
  </si>
  <si>
    <t>Os dissecantes mudam de cor a medida que aumentam os níveis de umidade (indicando  a necessidade de substituir ou recarregar)?</t>
  </si>
  <si>
    <t xml:space="preserve">If desiccants do not have a color indicator, are colorless desiccants replaced at least monthly? </t>
  </si>
  <si>
    <t>Si les dessicants ne possèdent pas d'indicateur de couleur, les dessiccants incolores sont-ils remplacés au moins une fois par mois?</t>
  </si>
  <si>
    <t>Si los desecantes no tienen un indicador de color, ¿se reemplazan los desecantes incoloros al menos mensualmente?</t>
  </si>
  <si>
    <t xml:space="preserve">Se os dissecantes não tem um indicador de cor, os dissecantes incolores são substituídos pelo menos mensalmente? </t>
  </si>
  <si>
    <t>Are the containers holding open antibiotic disks/strips stored in a refrigerator or non-defrosting freezer when not in use?</t>
  </si>
  <si>
    <t>Les récipients contenant les disques / bandelettes d'antibiotiques sont-ils conservés au réfrigérateur ou dans un congélateur sans dégivrage lorsqu'ils ne sont pas utilisés?</t>
  </si>
  <si>
    <t>¿Se almacenan los recipientes que contienen los discos / tiras con antibióticos abiertos en un refrigerador o en un congelador no frost cuando no están en uso?</t>
  </si>
  <si>
    <t>Os recipientes que contém discos/tiras de antibióticos abertas são armazenados no refrigerador ou congelador sem ciclo de degelo quando não estão em uso?</t>
  </si>
  <si>
    <t>Are the containers holding open antibiotic disks/strips allowed to equilibrate to room temperature before opening to minimize condensation (typically 1 hour)</t>
  </si>
  <si>
    <t>Les récipients contenant les disques / bandelettes d'antibiotiques sont-ils laissés à la température ambiante avant de les ouvrir pour atteindre la température ambiante et minimiser la condensation (généralement 1 heure)?</t>
  </si>
  <si>
    <t>¿Se permite que los recipientes que contienen discos / tiras con antibióticos abiertos se equilibren a temperatura ambiente antes de abrirlos para minimizar la condensación (generalmente 1 hora)?</t>
  </si>
  <si>
    <t>Os recipientes que contém discos/tiras de antibióticos abertos são deixados a equilibrar  à temperatura ambiente antes de abri-los para minimizar a condensação (geralmente 1 hora)</t>
  </si>
  <si>
    <t>PRÉPARATION DES INOCULA</t>
  </si>
  <si>
    <t>PREPARAÇÃO DO INÓCULO</t>
  </si>
  <si>
    <t>When preparing an inoculum using the colony suspension method, are colonies less than 18 hours old ever used?</t>
  </si>
  <si>
    <t>Lors de la préparation d'un inoculum selon la méthode de la suspension de colonies, des colonies de moins de 18 heures ont-elles déjà été utilisées?</t>
  </si>
  <si>
    <t>Al preparar un inóculo utilizando el método de suspensión de colonias, ¿se han utilizado colonias de menos de 18 horas?</t>
  </si>
  <si>
    <t>Ao preparar um inóculo utilizando um método de suspensão de colônias, o laboratório já utilizou colônias  com menos de 18 horas?</t>
  </si>
  <si>
    <t>When preparing an inoculum using the colony suspension method, are colonies more than 24 hours old ever used?</t>
  </si>
  <si>
    <t>Lors de la préparation d'un inoculum selon la méthode de la suspension de colonies, des colonies de plus de 24 heures ont-elles déjà été utilisées?</t>
  </si>
  <si>
    <t>Al preparar un inóculo utilizando el método de suspensión de colonias, ¿se han utilizado colonias de más de 24 horas?</t>
  </si>
  <si>
    <t>Ao preparar um inóculo utilizando um método de suspensão de colônias, o laboratório já utilizou colônias  com mais de 24 horas?</t>
  </si>
  <si>
    <t xml:space="preserve">Observe an AST inoculum preparation. Do technologists use only individual, well-isolated colonies of the same morphological type? </t>
  </si>
  <si>
    <t>Observez une préparation d'inoculum pour le TSA. Les techniciens utilisent-ils uniquement des colonies individuelles bien isolées ayant le même aspect?</t>
  </si>
  <si>
    <t>Observe una preparación de inóculo para hacer una PSA. ¿Usan los técnicos exclusivamente colonias individuales y bien aisladas de un mismo tipo morfológico?</t>
  </si>
  <si>
    <t>Observe uma preparação de inóculo para TSA. Os técnicos usam apenas colônias individuais e bem isoladas do mesmo tipo morfológico?</t>
  </si>
  <si>
    <t>Are colonies taken only from non-selective media, such as blood agar  ( MacConkey agar is acceptable)</t>
  </si>
  <si>
    <t>Les colonies sont-elles prélevées uniquement sur des milieux non sélectifs, tels que la gélose au sang (la gélose MacConkey est acceptable)</t>
  </si>
  <si>
    <t>¿Se toman las colonias solo de medios no selectivos, como el agar sangre (se acepta el agar MacConkey)?</t>
  </si>
  <si>
    <t>As colônias são tomadas apenas a partir de meios não seletivos, tais como ágar sangue (ágar MacConkey é aceitável)</t>
  </si>
  <si>
    <t>Does the lab ever intentionally mix two different organisms in the same inoculum for AST?</t>
  </si>
  <si>
    <t>Est-ce que le laboratoire mélange intentionnellement deux organismes différents dans le même inoculum pour le TSA?</t>
  </si>
  <si>
    <t>¿Alguna vez el laboratorio mezcla intencionalmente dos organismos diferentes en el mismo inóculo para hacer una PSA?</t>
  </si>
  <si>
    <t>O laboratório já misturou intencionalmente dois organismos diferentes no mesmo inóculo para fazer TSA?</t>
  </si>
  <si>
    <t>Is an appropriate, sterile inoculation medium (TSB or saline) used?</t>
  </si>
  <si>
    <t>Un milieu d’inoculation stérile approprié (TSB ou solution saline) est-il utilisé?</t>
  </si>
  <si>
    <t>¿Se utiliza un medio de inoculación estéril apropiado (TSB o solución salina)?</t>
  </si>
  <si>
    <t>Um meio de inoculação apropriado, estéril (TSB ou salina) é utilizado?</t>
  </si>
  <si>
    <t>Do records indicate that the saline solution is tested for sterility on a regular basis? (Preferably at least weekly)</t>
  </si>
  <si>
    <t>Est-ce que les enregistrements indiquent que stérilité de la solution saline est régulièrement vérifiée? (De préférence au moins une fois par semaine)</t>
  </si>
  <si>
    <t>¿Se indica en los registros que la solución salina se analiza periódicamente para determinar la esterilidad? (Preferiblemente al menos semanalmente)</t>
  </si>
  <si>
    <t>Os registros indicam que a solução salina é testada para esterilidade regularmente? (preferencialmente, pelo menos semanalmente)</t>
  </si>
  <si>
    <t>Is the inoculum brought to a density equivalent to 0.5 McFarland?</t>
  </si>
  <si>
    <t>L'inoculum est-il mis en supsension afin d'obtenir une densité équivalente à 0,5 McFarland?</t>
  </si>
  <si>
    <t>¿Se lleva el inóculo a una turbidez equivalente al 0.5 de la escala de McFarland?</t>
  </si>
  <si>
    <t>O inóculo é feito para uma densidade equivalente a 0.5 McFarland?</t>
  </si>
  <si>
    <t>How is the inoculum density checked for accuracy?</t>
  </si>
  <si>
    <t>Comment la précision de la mesure de la densité de l'inoculum est-elle contrôlée?</t>
  </si>
  <si>
    <t>¿Cómo se ajusta con precisión la turbidez del inóculo?</t>
  </si>
  <si>
    <t>Como é verificada a exatidão da densidade do inóculo?</t>
  </si>
  <si>
    <t>1: Calibrated densitometer/turbidity meter - 2: Visual comparison to a 0.5 McFarland standard that is not expired (check date) - 3 : Neither of the above</t>
  </si>
  <si>
    <t>1: Densitomètre / turbidimètre étalonné - 2: Comparaison visuelle avec un étalon de 0,5 McFarland non périmé (contrôlez la date) - 3: Aucune de ces réponses.</t>
  </si>
  <si>
    <t>1: densitómetro calibrado / medidor de turbidez - 2: comparación visual con un estándar de 0.5 McFarland que no haya caducado (comprobar fecha de caducidad) - 3: ninguno de los anteriores</t>
  </si>
  <si>
    <t>1: Densímetro calibrado/medidor de turbidez - 2: A comparação visual de um padrão 0.5 McFarland que não expirou (data de verificação) - 3: Nenhum dos acima</t>
  </si>
  <si>
    <t>INOCULATION / INCUBATION</t>
  </si>
  <si>
    <t>INOCULAÇÃO / INCUBAÇÃO</t>
  </si>
  <si>
    <t>Does the lab ever use agar other than Mueller Hinton for AST of non-fastidious organisms?</t>
  </si>
  <si>
    <t>Le laboratoire utilise-t-il des géloses autre que Mueller Hinton pour le TSA des organismes non fastidieux?</t>
  </si>
  <si>
    <t>¿Utiliza el laboratorio alguna vez agar que no sea Mueller Hinton para hacer PSA de organismos no fastidiosos?</t>
  </si>
  <si>
    <t>O laboratório já utilizou alguma vez outro ágar diferente do Mueller Hinton para TSA de organismos não fastidiosos?</t>
  </si>
  <si>
    <t>Does the lab ever use agar other than Mueller Hinton with Blood for AST of Streptococcus pneumoniae?</t>
  </si>
  <si>
    <t>Le laboratoire utilise-t-il des géloses autre que Mueller Hinton au sang pour le TSA de Streptococcus pneumoniae?</t>
  </si>
  <si>
    <t>¿Utiliza el laboratorio alguna vez otro agar que no sea Mueller Hinton suplementado con sangre para PSA de Streptococcus pneumoniae?</t>
  </si>
  <si>
    <t>O laboratório já utilizou alguma vez usar outro ágar diferente de Mueller Hinton com sangue para TSA de Streptococcus pneumoniae?</t>
  </si>
  <si>
    <t>Observe a MH plate being inoculated.</t>
  </si>
  <si>
    <t>Observez l'ensmeencement d'une gélose MH.</t>
  </si>
  <si>
    <t>Observe la inoculación en una placa MH.</t>
  </si>
  <si>
    <t xml:space="preserve">Observar a inoculação em uma placa MH </t>
  </si>
  <si>
    <t>Is the inoculum always used within 15 minutes of preparation?</t>
  </si>
  <si>
    <t>L'inoculum est-il toujours utilisé dans les 15 minutes suivant sa préparation?</t>
  </si>
  <si>
    <t>¿Se usa siempre el inóculo antes de que transcurran 15 minutos desde su preparación?</t>
  </si>
  <si>
    <t>O inóculo é sempre utilizado dentro dos 15 minutos de preparação?</t>
  </si>
  <si>
    <t>Is a sterile swab used to inoculate the plate?</t>
  </si>
  <si>
    <t>Un écouvillon stérile est-il utilisé pour ensemencer la gélose?</t>
  </si>
  <si>
    <t>¿Se usa un hisopo estéril para inocular la placa?</t>
  </si>
  <si>
    <t>Se utiliza um swab estéril para inocular a placa?</t>
  </si>
  <si>
    <t xml:space="preserve">Is the inoculum spread in a way that will create an even lawn? </t>
  </si>
  <si>
    <t>L'inoculum est-il réparti de manière uniforme sur la gélose?</t>
  </si>
  <si>
    <t>¿Se extiende el inóculo de manera que se cree una siembra uniforme?</t>
  </si>
  <si>
    <t xml:space="preserve">O inóculo é espalhado de uma maneira a criar uma camada uniforme? </t>
  </si>
  <si>
    <t>To create an even lawn, streak a line from top to bottom, then spread left to right across that line from top to bottom. Rotate plate 60° and repeat from beginning; rotate plate another 60° and repeat again.</t>
  </si>
  <si>
    <t xml:space="preserve">
Pour répartir uniformément: Tracez une ligne de haut en bas, puis étalez de haut en bas de gauche à droite. Faites pivoter la plaque de 60 ° et recommencez depuis le début. Faites pivoter la plaque de 60 ° et répétez l'opération.</t>
  </si>
  <si>
    <t>Para crear una siembra uniforme: Trazar una línea de arriba a abajo, luego extenderla de izquierda a derecha a través de esa línea vertical. Rotar la placa 60 ° y repetir desde el principio; rotar la placa otros 60 ° y repetir nuevamente.</t>
  </si>
  <si>
    <t>Para criar uma camada uniforme: Traçar uma linha de cima para baixo, em seguida, espalhar da esquerda para a direita através dessa linha vertical. Girar a placa a 60 ° e repetir desde o início; girar a placa mais 60 ° e repetir novamente.</t>
  </si>
  <si>
    <t>Before applying disks/strips, are inoculated MH plates allowed to sit, lid-ajar, for 3 to no more than 15 minutes to allow for absorption of excess surface moisture?</t>
  </si>
  <si>
    <t>Avant d’appliquer les disques / bandelettes, les géloses MH inoculées sont-elles laissées au contact du couvercle pendant 3 à 15 minutes au maximum pour permettre l’absorption de l’humidité excessive en surface?</t>
  </si>
  <si>
    <t>Antes de aplicar discos / tiras, ¿se dejan reposar las placas MH inoculadas, tapadas, de 3 a no más de 15 minutos para permitir la absorción del exceso de humedad superficial?</t>
  </si>
  <si>
    <t>Antes de aplicar discos/tiras, as placas são deixadas em repouso com tampa entreaberta de  3 a não mais de 15 minutos para permitir a absorção do excesso de humidade da superfície?</t>
  </si>
  <si>
    <t>Are disks/strips ever moved after being placed on the agar?</t>
  </si>
  <si>
    <t>Les disques / bandelettes sont-ils parfois déplacés après avoir été placés sur la gélose?</t>
  </si>
  <si>
    <t>¿Se han movido alguna vez los discos / tiras después de colocarlos en el agar?</t>
  </si>
  <si>
    <t>Os discos/tiras  já foram movidos depois de serem colocados no ágar?</t>
  </si>
  <si>
    <t>When using multi-disk dispensers, is the bottom of the dispenser disinfected between isolates?</t>
  </si>
  <si>
    <t>Lors de l'utilisation de distributeurs multi-disques, le fond du distributeur est-il désinfecté entre les isolats?</t>
  </si>
  <si>
    <t>Cuando se usan dispensadores de discos, ¿se desinfecta la parte inferior del dispensador entre aislamiento y aislamiento?</t>
  </si>
  <si>
    <t>Quando se utiliza dispensadores multi-disco, se desinfeta a parte inferior do dispensador entre os isolamentos?</t>
  </si>
  <si>
    <t>Are AST plates incubated within 15 minutes of placing disks/strips?</t>
  </si>
  <si>
    <t>Les géloses de TSA sont-elles incubées dans les 15 minutes suivant la mise en place des disques / bandelettes?</t>
  </si>
  <si>
    <t>¿Se incuban las placas de la PSA antes de que transcurran 15 minutos desde la colocación de los discos / tiras?</t>
  </si>
  <si>
    <t>As placas de TSA são incubadas dentro de 15 minutos após a inserção dos discos/tiras?</t>
  </si>
  <si>
    <t>After AST inoculation, are “purity plates” made from the remaining suspension?</t>
  </si>
  <si>
    <t>Après ensemencement du TSA, des boîtes de pureté sont-elles fabriquées à partir de la suspension restante?</t>
  </si>
  <si>
    <t>Después de la inoculación para la PSA, ¿se hacen "placas de pureza" a partir de la suspensión restante?</t>
  </si>
  <si>
    <t xml:space="preserve">Após a inoculação para TSA, o laboratório utiliza o inóculo restante para fazer "placas de pureza"? </t>
  </si>
  <si>
    <t>A purity plate is a light subculture of the inoculum that is made to ensure the inoculum was not mixed or contaminated; usually streaked like a urine to ensure visualization of individual colonies and checked for purity when reading AST results</t>
  </si>
  <si>
    <t>Une boîte de pureté est un repiquage  de l'inoculum réalisé pour garantir que l'inoculum n'était ni mélangé ni contaminé. Elle est généralement striée comme une urine pour assurer la visualisation des colonies individuelles et contrôler la pureté lors de la lecture des résultats de TSA</t>
  </si>
  <si>
    <t>Una placa de pureza es un subcultivo del inóculo que se hace para garantizar que éste no estuviera mezclado ni contaminado; generalmente se siembra como la orina para garantizar la visualización de las colonias individuales y se verifica su pureza al leer los resultados</t>
  </si>
  <si>
    <t>Uma placa de pureza é uma subcultura do inóculo que é feito para assegurar o mesmo  não estava misturado ou contaminado, geralmente se semeia como urina para garantir a visualização de colônias individuais e  verificar a sua pureza ao ler os resultados de TSA</t>
  </si>
  <si>
    <t>Are AST plates for non-fastidious organisms ever incubated in CO2?</t>
  </si>
  <si>
    <t>Les boites de TSA pour organismes non fastidieux sont elles parfois incubées dans du CO2?</t>
  </si>
  <si>
    <t>¿Se incuban las placas de la PSA para organismos no fastidiosos en CO2?</t>
  </si>
  <si>
    <t>As placas de TSA para organismos não-fastidiosos são incubadas em CO2?</t>
  </si>
  <si>
    <t>Are AST plates for S. pneumoniae incubated in 5% CO2?</t>
  </si>
  <si>
    <t>Les plaques de TSA pour S. pneumoniae sont-elles parfois incubées dans 5% de CO2?</t>
  </si>
  <si>
    <t>¿Se incuban las placas de PSA para S. pneumoniae en 5% de CO2?</t>
  </si>
  <si>
    <t>As placas de TSA para S. pneumoniae são incubadas em 5% de CO2?</t>
  </si>
  <si>
    <t>Observe some currently incubating and/or recently read Mueller Hinton AST plates.</t>
  </si>
  <si>
    <t>Observez des géloses Mueller Hinton de TSA en cours d'incubation et / ou récemment lues .</t>
  </si>
  <si>
    <t>Observar algunas placas Mueller Hinton para PSA que haya actualmente en incubación y / o recientemente leídas.</t>
  </si>
  <si>
    <t>Observe algumas placas de Mueller Hinton para TSA atualmente incubadas e/ou lidas recentemente.</t>
  </si>
  <si>
    <t>Are the lawns of growth confluent (no gaps or individual colonies showing)?</t>
  </si>
  <si>
    <t>Les zones de croissance sont-elles confluentes (pas de trous ni de colonies individuelles visibles)?</t>
  </si>
  <si>
    <t>¿La siembra es uniforme (no se observan huecos ni colonias individuales)?</t>
  </si>
  <si>
    <t>O crescimento é uniforme (sem mostrar lacunas ou colônias individuais)?</t>
  </si>
  <si>
    <t>Is there a maximum of 6 antibiotic disks per 100mm plate?</t>
  </si>
  <si>
    <t>Y a-t-il un maximum de 6 disques d'antibiotiques par plaque de 100 mm?</t>
  </si>
  <si>
    <t>¿Hay un máximo de 6 discos con antibiótico por placa de 100 mm?</t>
  </si>
  <si>
    <t>Existe um máximo de 6 discos de antibióticos na placa de 100 mm?</t>
  </si>
  <si>
    <t>Is there a maximum of 12 antibiotic disks per 150mm plate?</t>
  </si>
  <si>
    <t>Y a-t-il un maximum de 12 disques d'antibiotiques par plaque de 150 mm?</t>
  </si>
  <si>
    <t>¿Hay un máximo de 12 discos con antibiótico por placa de 150 mm?</t>
  </si>
  <si>
    <t>Existe um máximo de 12 discos de antibióticos na placa de 150 mm?</t>
  </si>
  <si>
    <t>Are disks spaced properly? (At least 24mm from center to center, no overlapping zones, not too close to edge, uniformly circular zones)</t>
  </si>
  <si>
    <t>Les disques sont-ils correctement espacés? (Au moins 24 mm de centre à centre, pas de zones qui se chevauchent, pas trop près du bord, zones uniformément circulaires)</t>
  </si>
  <si>
    <t>¿Están los discos espaciados correctamente? (Al menos 24 mm de centro a centro, sin zonas superpuestas, no demasiado cerca del borde, zonas uniformemente circulares)</t>
  </si>
  <si>
    <t>Os discos estão espaçados corretamente? (Pelo menos 24 milímetros de centro a centro, não há zonas que se sobrepõem, não muito próximos da borda, zonas circulares uniformes)</t>
  </si>
  <si>
    <t>LECTURE DES RÉSULTATS DU TSA</t>
  </si>
  <si>
    <t>LECTURA DE RESULTADOS DE LAS PSA</t>
  </si>
  <si>
    <t>LEITURA DOS RESULTADOS DOS TSA</t>
  </si>
  <si>
    <t>Are AST results ever read after less than 16 hours of incubation?</t>
  </si>
  <si>
    <t>Les résultats du TSA sont-ils lus après moins de 16 heures d'incubation?</t>
  </si>
  <si>
    <t>¿Se leen los resultados de las PSA antes de que trascurran 16 horas de incubación?</t>
  </si>
  <si>
    <t>Os resultados de TSA já foram lidos com menos de 16 horas de incubação?</t>
  </si>
  <si>
    <t>Are AST results ever read after more than 24 hours of incubation?</t>
  </si>
  <si>
    <t>Les résultats du TSA sont-ils lus après plus de 24 heures d'incubation?</t>
  </si>
  <si>
    <t>¿Se leen los resultados de las PSA una vez transcurridas más de 24 horas de incubación?</t>
  </si>
  <si>
    <t>Os resultados de TSA já foram lidos com mais de 24 horas de incubação?</t>
  </si>
  <si>
    <t>If individual colonies are apparent within the ellipsis or the zone of inhibition, does the lab repeat the test with a fresh subculture of a single colony from the original plate?</t>
  </si>
  <si>
    <t>Si des colonies individuelles apparaissent dans les ellipses ou dans la zone d'inhibition, le laboratoire répète-t-il le test avec un nouveau repiquage d'une seule colonie de la boîte d'origine?</t>
  </si>
  <si>
    <t>Si se observan colonias individuales dentro del halo de inhibición, ¿repite el laboratorio la prueba haciendo un nuevo subcultivo a partir de una sola colonia de la placa original?</t>
  </si>
  <si>
    <t>Se as colônias individuais são aparentes dentro da zona de inibição, o laboratório repete o  teste com uma subcultura fresco de uma única colônia da placa original?</t>
  </si>
  <si>
    <t>Observe a Mueller Hinton AST plate being read.</t>
  </si>
  <si>
    <t>Observez une boite Mueller Hinton de TSA en cours de lecture.</t>
  </si>
  <si>
    <t>Observar la lectura de una placa Mueller Hinton para PSA</t>
  </si>
  <si>
    <t xml:space="preserve">Observar a leitura de TSA em uma placa Mueller Hinton </t>
  </si>
  <si>
    <t>Is the plate held above a black, non-reflective background?</t>
  </si>
  <si>
    <t>La boite est-elle disposée au-dessus d'un fond noir non réfléchissant?</t>
  </si>
  <si>
    <t>¿Está la placa puesta frente a una superficie negra no reflectante?</t>
  </si>
  <si>
    <t>A placa é colocada sobre um fundo preto, não-reflexivo?</t>
  </si>
  <si>
    <t>Is the plate illuminated adequately with reflected light?</t>
  </si>
  <si>
    <t>La boite est-elle bien éclairée par la lumière réfléchie?</t>
  </si>
  <si>
    <t>¿Está la placa iluminada adecuadamente con luz reflejada?</t>
  </si>
  <si>
    <t>A placa  é iluminada de forma adequada com a luz refletida?</t>
  </si>
  <si>
    <t>Is the plate inverted and zones measured from underneath?</t>
  </si>
  <si>
    <t>La boite est-elle retournée et les zones mesurées par en-dessous?</t>
  </si>
  <si>
    <t>¿Está la placa invertida y los halos se miden por su parte posterior?</t>
  </si>
  <si>
    <t>A placa é invertida e os halos medidos na parte posterior?</t>
  </si>
  <si>
    <t>Is a ruler or a caliper with millimeter marks used to measure zone sizes ?</t>
  </si>
  <si>
    <t>Une règle ou un pied à coulisse avec des repères millimétriques sont-ils utilisés pour mesurer la taille des zones d'inhibition?</t>
  </si>
  <si>
    <t>¿Se utiliza una regla o un pie de rey con marcas milimétricas para medir los halos de inhbición?</t>
  </si>
  <si>
    <t>Uma régua ou um paquímetro com marcas milimétricas é utilizado para medir os tamanhos dos halos de inibição?</t>
  </si>
  <si>
    <t>Does the lab possess a guidance document with photos describing how to measure zone sizes, such as the CLSI M02 or the EUCAST disk diffusion reading guides?</t>
  </si>
  <si>
    <t>Le laboratoire possède-t-il un document d’orientation avec des photos décrivant comment mesurer la taille des zones d'inhibition, tel que le CLSI M02 ou les guides de lecture de diffusion  EUCAST?</t>
  </si>
  <si>
    <t>¿Posee el laboratorio un documento de guía con fotos que describa cómo medir los diámetros de los halos de inhibición, como el CLSI M02 o las guías de lectura del método de difusión con discos de EUCAST?</t>
  </si>
  <si>
    <t>O laboratório possui um documento de orientação com  fotos que descrevem como medir os diâmetros dos halos de inibição, como os guias de leitura do método disco-difusão do CLSI M02 ou do EUCAST ?</t>
  </si>
  <si>
    <t xml:space="preserve">Does the lab possess a guidance document with photos describing how to measure gradient strip endpoints? </t>
  </si>
  <si>
    <t>Le laboratoire possède-t-il un document d'orientation avec des photos décrivant comment lire les résultats des bandelettes graduées?</t>
  </si>
  <si>
    <t>¿Posee el laboratorio un documento de guía con fotos que describa cómo medir los valores en la tira de gradiente?</t>
  </si>
  <si>
    <t>O laboratório possui um documento de orientação com  fotos que descrevem como medir os valores nas tiras de gradiente?</t>
  </si>
  <si>
    <t>For example, http://www.ilexmedical.com/files/ETEST_RG.pdf</t>
  </si>
  <si>
    <t>Par exemple, http://www.ilexmedical.com/files/ETEST_RG.pdf</t>
  </si>
  <si>
    <t>Por ejemplo http://www.ilexmedical.com/files/ETEST_RG.pdf</t>
  </si>
  <si>
    <t>Por exemplo http://www.ilexmedical.com/files/ETEST_RG.pdf</t>
  </si>
  <si>
    <t xml:space="preserve">Does the SOP or bench aide instruct that zone sizes and/or MIC endpoints for co-trimoxazole (SXT) are measured at 80% inhibition of growth, rather than 100%? </t>
  </si>
  <si>
    <t>La POS ou l'aide mémoire indique-t-elle que le diamètre d'inhibition et / ou les valeurs de CMI du cotrimoxazole (SXT) sont mesurés à une inhibition de pousse de 80% plutôt qu'à 100%?</t>
  </si>
  <si>
    <t>¿Se indica en el POE o en el documento de ayuda de poyata que los halos de inhibición y / o los valores de CMI para el cotrimoxazol (SXT) se miden con una inhibición del crecimiento del 80%, en lugar del 100%?</t>
  </si>
  <si>
    <t xml:space="preserve">O POP ou instrução de bancada instrui que os halos de inibição/ou valores do MIC para o Cotrimoxazol (SXT) são medidos a 80% de inibição do crescimento, ao invés de 100%? </t>
  </si>
  <si>
    <t>Does the SOP or bench aide instruct how to measure zones of inhibition and/or MIC endpoints when Proteus spp. swarming is present?</t>
  </si>
  <si>
    <t>Est-ce que la POS ou l'aide mémoire vous explique comment mesurer les diamètres d'inhibition et / ou les valeurs de CMI lorsqu'une nappe de Proteus spp.  est présente?</t>
  </si>
  <si>
    <t>¿Se indica en el POE o en el documento de ayuda de poyata cómo medir los halos de inhibición y / o los valores de CMI cuando haya sobrecrecmiento (swarming) por especies de Proteus?</t>
  </si>
  <si>
    <t>O POP ou instrução de bancada instrui como medir os halos de inibição e / ou valores do MIC quando o véu (swarming) do Proteus spp. está presente?</t>
  </si>
  <si>
    <t>Is the automated AST instrument software up to date?</t>
  </si>
  <si>
    <t>Le logiciel de l'automate de TSA est-il à jour?</t>
  </si>
  <si>
    <r>
      <t>¿Está actualizado el software del instrumento automatizad</t>
    </r>
    <r>
      <rPr>
        <sz val="10"/>
        <rFont val="Calibri"/>
        <family val="2"/>
        <scheme val="minor"/>
      </rPr>
      <t>o de PSA</t>
    </r>
    <r>
      <rPr>
        <sz val="10"/>
        <color rgb="FF000000"/>
        <rFont val="Calibri"/>
        <family val="2"/>
        <scheme val="minor"/>
      </rPr>
      <t>?</t>
    </r>
  </si>
  <si>
    <t xml:space="preserve">O software do instrumento automatizado de TSA está atualizado? </t>
  </si>
  <si>
    <t>Answer NA if the lab does not use automated AST instrument</t>
  </si>
  <si>
    <t>Répondre à NA si le laboratoire n'utilise pas d'instrument automatisé pour le TSA</t>
  </si>
  <si>
    <r>
      <t>Responda NA si el laboratorio no usa un instrumento automatizado</t>
    </r>
    <r>
      <rPr>
        <sz val="10"/>
        <rFont val="Calibri"/>
        <family val="2"/>
        <scheme val="minor"/>
      </rPr>
      <t xml:space="preserve"> de PSA</t>
    </r>
  </si>
  <si>
    <t>Responda NA se o laboratório não utiliza instrumento de TSA automatizado</t>
  </si>
  <si>
    <t>Is there evidence that appropriate actions are taken when the AST instrument software flags an AST result as questionable (such as checking for purity or repeating the test by another method)?</t>
  </si>
  <si>
    <t>Existe-t-il des preuves que des actions appropriées sont entreprises lorsque le logiciel de l'automate de TSA signale un résultat de TSA douteux (comme le contrôle de la pureté ou la répétition du test par une autre méthode)?</t>
  </si>
  <si>
    <t>¿Hay evidencia de que se toman las medidas adecuadas cuando el software del instrumento para PSA marca un resultado dudoso (como verificar la pureza o repetir la prueba por otro método)?</t>
  </si>
  <si>
    <t>Existe evidência de que ações apropriadas sejam tomadas quando o software do instrumento de TSA alerta um resultado como duvidoso ​​(como a verificação de pureza ou repetição do teste por outro método)?</t>
  </si>
  <si>
    <t>Answer NA if the lab does not use automated instrument</t>
  </si>
  <si>
    <t>Répondez NA si le laboratoire n'utilise pas d'instrument automatisé</t>
  </si>
  <si>
    <t>Responda NA si el laboratorio no usa un instrumento automatizado</t>
  </si>
  <si>
    <t>Is there evidence that microbiology staff have received adequate training to recognize intrinsic resistance patterns? (Check SOPs and training/competence assessment records )</t>
  </si>
  <si>
    <t>Existe-t-il des preuves que le personnel de microbiologie a reçu une formation adéquate pour reconnaître les profils de résistance naturelle? (Vérifier les POS et les dossiers d'évaluation de la formation / des compétences)</t>
  </si>
  <si>
    <t>¿Hay evidencia de que el personal de microbiología ha recibido la formación adecuada para reconocer los patrones de resistencia intrínseca? (Verifique los POE y los registros de evaluación de formación / competencia)</t>
  </si>
  <si>
    <t>Existe evidência de que o pessoal de microbiologia tenha recebido formação adequada para reconhecer padrões de resistência intrínseca? (Verifique os POPs e os registros de avaliação de treinamento/ competência)</t>
  </si>
  <si>
    <t>Note: Intrinsic resistance is defined as inherent or innate (not acquired) resistance which is reflected in the wild-type of all representatives of a species; e.g., Citrobacter spp. and Klebsiella spp. are intrinsically (naturally) resistant to ampicillin</t>
  </si>
  <si>
    <t>Remarque: La résistance naturelle est définie comme une résistance inhérente ou innée (non acquise) qui se reflète dans le type sauvage de tous les représentants d'une espèce. Par exemple, Citrobacter spp. et Klebsiella spp. sont intrinsèquement (naturellement) résistants à l'ampicilline</t>
  </si>
  <si>
    <t>Nota: La resistencia intrínseca se define como una resistencia inherente o innata (no adquirida) propia de especie; por ejemplo, Citrobacter spp. y Klebsiella spp. son intrínsecamente (naturalmente) resistentes a la ampicilina</t>
  </si>
  <si>
    <t>Nota: A resistência intrínseca é definida como uma resistência inerente ou inata (não adquirida) que se reflete no tipo "selvagem" de todos os representantes de uma espécie; por exemplo, Citrobacter spp. e Klebsiella spp. são intrinsecamente (naturalmente) resistentes à ampicilina</t>
  </si>
  <si>
    <t>(1: Yes - 2: Some, but would like additional training - 3: No)</t>
  </si>
  <si>
    <t>(1: Oui - 2: Certains, mais voudraient une formation supplémentaire - 3: Non)</t>
  </si>
  <si>
    <t>(1: Sí - 2: Algunos, pero quisiera formación adicional - 3: No)</t>
  </si>
  <si>
    <t>(1: Sim - 2: Alguns, mas gostariam de  treinamento adicional - 3: Não)</t>
  </si>
  <si>
    <t>Do the AST SOPs or bench aides provide examples of intrinsic resistance patterns? (Such as those found in CLSI M100 Appendix B or EUCAST Expert Rules V3.1)</t>
  </si>
  <si>
    <t>Les POS ou les aides mémoire pour les TSA fournissent-ils des exemples de profils de résistance naturelle? (Comme ceux qui figurent dans le CLSI M100, Annexe B ou EUCAST Expert Rules V3.1)</t>
  </si>
  <si>
    <t>¿Proporcionan los POEs o documentos de ayuda de poyata sobre PSA ejemplos de patrones de resistencia intrínseca? (Como las que se encuentran en el Apéndice B de CLSI M100 o las Reglas de experto de EUCAST V3.1)</t>
  </si>
  <si>
    <t>Os POPs ou instruções de bancada sobre TSA fornecem exemplos de padrões de resistência intrínseca? (Tais como aqueles encontrados no Apêndice B do CLSI M100 ou nas Regras de Especialista do EUCAST V3.1)</t>
  </si>
  <si>
    <t>Is there evidence that microbiology staff have received adequate training to recognize unusual or unexpected AST results that might require investigation? (e.g. Klebsiella spp. S to ampicillin; Staphylococcus spp. I/R to vancomycin)</t>
  </si>
  <si>
    <t>Existe-t-il des preuves que le personnel de microbiologie a reçu une formation adéquate pour reconnaître des résultats de TSA inhabituels ou inattendus pouvant nécessiter des investigations complémentaires? (par exemple, Klebsiella spp. S à l'ampicilline; Staphylococcus spp. I / R à la vancomycine)</t>
  </si>
  <si>
    <t>¿Hay evidencia de que el personal de microbiología ha recibido la formación adecuada para reconocer resultados inusuales o inesperados en las PSA que puedan requerir investigación? (por ejemplo, Klebsiella spp. S a ampicilina; Staphylococcus spp. I / R a vancomicina)</t>
  </si>
  <si>
    <t>Existe evidência de que o pessoal de microbiologia tenham recebido formação adequada para reconhecer resultados incomuns ou inesperadas no TSA que podem exigir investigação? (Por exemplo, Klebsiella spp S à ampicilina;.. Staphylococcus spp I / R à vancomicina)</t>
  </si>
  <si>
    <t>Check SOPs and training/competence assessment records</t>
  </si>
  <si>
    <t>Vérifier les POS et les dossiers d'évaluation de la formation / des compétences</t>
  </si>
  <si>
    <t>Verifique los POE y los registros de evaluación de formación / competencia</t>
  </si>
  <si>
    <t>Verifique POPs e registros de avaliação de treinamento /competência</t>
  </si>
  <si>
    <t>Do the AST SOPs or bench aides define examples of unusual or unexpected AST results? (Such as those found in CLSI M100 Appendix A or EUCAST Expert Rules V3.1)</t>
  </si>
  <si>
    <t>Est-ce que les POS ou les aides mémoire pour les TSA définissent des exemples de résultats de TSA inhabituels ou inattendus? (Comme ceux décrits dans l’annexe A du CLSI M100 ou les règles expert EUCAST V3.1)</t>
  </si>
  <si>
    <t>¿Definen los POEs o documentos de ayuda de poyata sobre PSA ejemplos de resultados inusuales o inesperados en las PSA? (Como las que se encuentran en el Apéndice A de CLSI M100 o las Reglas de experto de EUCAST V3.1)</t>
  </si>
  <si>
    <t>Os POPs ou instruções de bancadas definem  exemplos de resultados incomuns ou inesperados no TSA? (Tais como aqueles  encontrados no CLSI M100 Apêndice A ou EUCAST Regras do Especialista V3.1)</t>
  </si>
  <si>
    <t xml:space="preserve">Do the AST SOPs or bench aides describe what actions to take when unusual or unexpected AST results are encountered (e.g., check purity, reconfirm organism ID, check relevant QC, repeat testing, notify supervisor)? </t>
  </si>
  <si>
    <t>Les POS ou les aides mémoire pour les TSA décrivent-ils les mesures à prendre lorsque des résultats de TSA inhabituels ou inattendus sont rencontrés (par exemple, vérifier la pureté, reconfirmer l'identification d'un organisme, vérifier le CQ concerné, répéter les tests, informer le superviseur)?</t>
  </si>
  <si>
    <t>¿Describen los POEs o documentos de ayuda de poyata sobre PSA qué acciones tomar cuando se encuentran resultados inusuales o inesperados en las PSA (por ejemplo, verificar la pureza, reconfirmar la identificación del organismo, verificar el CC relevante, repetir las pruebas, notificar al supervisor)?</t>
  </si>
  <si>
    <t xml:space="preserve">Os POPs ou instruções de bancada sobre TSA descrevem sobre que ações devem ser tomadas quando se encontram resultados de TSA incomuns ou inesperados (ex. verificar a pureza, reconfirmar a ID do organismo, verificar o CQ, repetição do teste, notificar supervisor)? </t>
  </si>
  <si>
    <t xml:space="preserve">Is there evidence of such actions being taken? </t>
  </si>
  <si>
    <t>Existe-t-il des preuves de telles actions?</t>
  </si>
  <si>
    <t>¿Hay evidencia de tales acciones que se están tomando?</t>
  </si>
  <si>
    <t xml:space="preserve">Existe evidência de que tais ações estão sendo tomadas? </t>
  </si>
  <si>
    <t>Is the microbiology lead or supervisor informed when unusual AST results are identified?</t>
  </si>
  <si>
    <t>Le responsable de la microbiologie ou le superviseur est-il informé losque des résultats du TSA sont inhabituels?</t>
  </si>
  <si>
    <t>¿Se informa al responsable o supervisor de microbiología cuando se identifican resultados inusuales en las PSA?</t>
  </si>
  <si>
    <t>O responsável ou supervisor da microbiologia é  informado quando resultados de TSA incomuns são identificados?</t>
  </si>
  <si>
    <t>Does a supervisor review all AST results for unusual findings before results are given to physicians ?</t>
  </si>
  <si>
    <t>Un superviseur examine-t-il tous les résultats du TSA pour rechercher des résultats inhabituels avant que ces résultats ne soient communiqués aux médecins?</t>
  </si>
  <si>
    <t>¿Revisa un supervisor todos los resultados de las PSA en busca de resultados inusuales antes de notificar los resultados a los médicos?</t>
  </si>
  <si>
    <t>O supervisor rever todos os resultados de TSA  para identificar resultados anormais antes que os resultados sejam reportados aos médicos?</t>
  </si>
  <si>
    <t>Is there evidence that the supervisor received appropriate training on how to recognize unusual AST findings?</t>
  </si>
  <si>
    <t>Existe-t-il des preuves que le superviseur a reçu une formation appropriée sur la manière de reconnaître les résultats inhabituels du TSA?</t>
  </si>
  <si>
    <t>¿Hay evidencia de que el supervisor recibió la formación adecuada sobre cómo reconocer resultados inusuales en las PSA?</t>
  </si>
  <si>
    <t>Existe evidência de que o supervisor recebeu treinamento adequado sobre como reconhecer resultados incomuns de TSA?</t>
  </si>
  <si>
    <t>NORMES POUR LES SEUILS</t>
  </si>
  <si>
    <t xml:space="preserve">Which AST breakpoint standard does the lab primarily use? </t>
  </si>
  <si>
    <t>Quelle norme pour les seuisl des TSA le laboratoire utilise-t-il principalement?</t>
  </si>
  <si>
    <t>¿Qué estándar de punto de corte para PSA utiliza principalmente el laboratorio?</t>
  </si>
  <si>
    <t xml:space="preserve">Qual norma de ponto de corte para TSA que o laboratório utiliza principalmente? </t>
  </si>
  <si>
    <t>1: CLSI - 2: EUCAST - 3: Other (please list in comments) - 4: None/mixed</t>
  </si>
  <si>
    <t>1: CLSI - 2: EUCAST - 3: Autre (veuillez préciser dans les commentaires) - 4: Aucune / mixte</t>
  </si>
  <si>
    <t>1: CLSI - 2: EUCAST - 3: Otro (indique en los comentarios) - 4: Ninguno / mixto</t>
  </si>
  <si>
    <t>1: CLSI - 2: EUCAST - 3: Outro (por favor indique nos comentários) - 4: Nenhum / misturado</t>
  </si>
  <si>
    <t>Ask to see the lab’s most current hard copy of the standard. Is it less than 3 years old?</t>
  </si>
  <si>
    <t>Demandez à voir la copie papier la plus récente de la norme. Est-ce qu'elle a moins de 3 ans?</t>
  </si>
  <si>
    <t>Solicite ver la copia impresa más reciente del estándar del laboratorio. ¿Tiene menos de 3 años?</t>
  </si>
  <si>
    <t>Solicite ver uma cópia impressa mais recente da norma do laboratório. Tem menos de 3 anos de idade?</t>
  </si>
  <si>
    <t>Does the lab obtain updates of the standard in use at least every 3 years?</t>
  </si>
  <si>
    <t>Le laboratoire obtient-il des mises à jour de la norme utilisée au moins tous les trois ans?</t>
  </si>
  <si>
    <t>¿Obtiene el laboratorio actualizaciones del estándar en uso al menos cada 3 años?</t>
  </si>
  <si>
    <t>O laboratório obtém  atualizações do norma em uso pelo menos a cada 3 anos?</t>
  </si>
  <si>
    <t>Does the lab review important standards changes, e.g., breakpoint changes, with the relevant hospital committees (e.g. pharmacy and therapeutics, stewardship)?</t>
  </si>
  <si>
    <t>Le laboratoire examine-t-il les modifications importantesdes normes, par exemple. changements de seuils, avec les comités hospitaliers compétents (p. ex. pharmacie et thérapeutique, intendance)?</t>
  </si>
  <si>
    <t>¿Revisa el laboratorio cambios importantes en los estándares, por ej. cambios en el punto de corte, con los comités hospitalarios relevantes (por ejemplo, farmacia, antibióticos)?</t>
  </si>
  <si>
    <t>O laboratório revisa mudanças importantes nos padrões, ex. mudanças nos ponto de corte, com as comissões competentes do hospital (por exemplo, farmácia e terapêutica, manejo de antibióticos)?</t>
  </si>
  <si>
    <t xml:space="preserve">Is there internet in the lab to access free EUCAST PDFs or CLSI M100 online version? </t>
  </si>
  <si>
    <t>Existe-t-il un accès Internet dans le laboratoire pour accéder gratuitement à la version en ligne de fichiers PDF EUCAST ou CLSI M100?</t>
  </si>
  <si>
    <t>¿Hay internet gratuito en el laboratorio para acceder a los archivos PDF de EUCAST o la versión online de CLSI M100?</t>
  </si>
  <si>
    <t xml:space="preserve">Existe internet gratuita no laboratório para acessar os arquivos PDFs do EUCAST l ou  da versão online do CLSI M100? </t>
  </si>
  <si>
    <t xml:space="preserve">http://www.eucast.org/ast_of_bacteria/guidance_documents/  </t>
  </si>
  <si>
    <t>http://www.eucast.org/ast_of_bacteria/guidance_documents/</t>
  </si>
  <si>
    <t xml:space="preserve">http://www.eucast.org/ast_of_bacteria/guidance_documents/ </t>
  </si>
  <si>
    <t>http://clsi-m100.com/</t>
  </si>
  <si>
    <t>Is there evidence that microbiology staff have received adequate training on how to use the CLSI M100 or EUCAST documents effectively? (1: Yes - 2: Some, but would like additional training - 3: No)</t>
  </si>
  <si>
    <t>Existe-t-il des preuves que le personnel de microbiologie a reçu une formation adéquate sur l'utilisation des documents CLSI M100 ou EUCAST? (1: Oui - 2: Certains, mais voudraient une formation supplémentaire - 3: Non)</t>
  </si>
  <si>
    <t>¿Hay evidencia de que el personal de microbiología haya recibido la formación adecuada sobre cómo usar los documentos CLSI M100 o EUCAST de manera efectiva? (1: Sí - 2: Algunos, pero quisiera formación adicional - 3: No)</t>
  </si>
  <si>
    <t>Existe evidência de que o pessoal da microbiologia tenha recebido treinamento adequado sobre a forma de utilizar os documentos CLSI M100 ou EUCAST de forma eficaz? (1: Sim - 2: Alguns, mas gostariam de treinamento adicional - 3: Não)</t>
  </si>
  <si>
    <t>For the next 3 questions, answer NA if the lab does not use considered disks</t>
  </si>
  <si>
    <t>Pour les 3 prochaines questions, répondez NA si le laboratoire n'utilise pas les disques considérés</t>
  </si>
  <si>
    <t>Para las siguientes 3 preguntas, responda NA si el laboratorio no usa los discos correspondientes</t>
  </si>
  <si>
    <t>Para as próximas 3 perguntas, responder NA se o laboratório não utiliza os discos correspondentes.</t>
  </si>
  <si>
    <t>Look at the cefotaxime disks currently in use. Does the drug concentration correspond correctly to the standard the lab uses? (CLSI breakpoints require 30µg disks, EUCAST breakpoints require 5µg disks).</t>
  </si>
  <si>
    <t>Regardez les disques de cefotaxime en cours d'utilisation. La concentration en médicament correspond-elle à la norme utilisée par le laboratoire? (Les seuils CLSI requièrent des disques de 30 µg, les seuils EUCAST nécessitent des disques de 5 µg).</t>
  </si>
  <si>
    <t>Mire los discos de cefotaxima actualmente en uso. ¿La concentración del antibiótico se corresponde correctamente con el estándar que usa el laboratorio? (Los puntos de corte CLSI requieren discos de 30µg, los puntos de corte EUCAST requieren discos de 5µg).</t>
  </si>
  <si>
    <t>Verifique os discos cefotaxima atualmente em uso. A concentração do antibiótico corresponde corretamente com o norma que o laboratório usa? (Os pontos de corte do CLSI requerem discos 30µg, os pontos de corte do EUCAST requerem discos 5 µg).</t>
  </si>
  <si>
    <t>Look at the ceftazidime disks currently in use. Does the drug concentration correspond correctly to the standard in use? (CLSI breakpoints require 30µg disks, EUCAST breakpoints require 10µg)</t>
  </si>
  <si>
    <t>Regardez les disques de ceftazidime en cours d'utilisation. La concentration en médicament correspond-elle correctement à la norme utilisée? (Les seuils CLSI nécessitent des disques de 30 µg, les seuils EUCAST nécessitent de 10 µg)</t>
  </si>
  <si>
    <t>Mire los discos de ceftazidima actualmente en uso. ¿La concentración del antibiótico corresponde correctamente con el estándar que se usa en el laboratorio? (Los puntos de corte CLSI requieren discos de 30µg, los puntos de corte EUCAST requieren 10µg)</t>
  </si>
  <si>
    <t>Verifique os discos ceftazidima atualmente em uso. A concentração do antibiótico corresponde corretamente com o norma que o laboratório usa? (Os pontos de corte do CLSI requerem discos 30µg, os pontos de corte do EUCAST requerem discos 10 µg).</t>
  </si>
  <si>
    <t>Look at the piperacillin-tazobactam disks currently in use. Does the drug concentration correspond correctly to the standard in use? (CLSI breakpoints require 100/10µg disks, EUCAST breakpoints require 30/6µg disks).</t>
  </si>
  <si>
    <t>Regardez les disques de pipéracilline-tazobactam en cours d'utilisation. La concentration en médicament correspond-elle correctement à la norme utilisée? (Les seuils CLSI nécessitent des disques 100 / 10µg, les seuils EUCAST nécessitent des disques 30 / 6µg).</t>
  </si>
  <si>
    <t>Mire los discos de piperacilina-tazobactam actualmente en uso. ¿La concentración del antibiótico corresponde correctamente con el estándar que se usa en el laboratorio? (Los puntos de corte CLSI requieren discos de 100 / 10µg, los puntos de corte EUCAST requieren discos de 30 / 6µg).</t>
  </si>
  <si>
    <t>Verifique os discos piperacilina-tazobactam atualmente em uso. A concentração do antibiótico corresponde corretamente com o norma que o laboratório usa? (Os pontos de corte do CLSI requerem discos 100/10µg, os pontos de corte do EUCAST requerem discos 30/6 µg).</t>
  </si>
  <si>
    <t>12- RÈGLES D'EXPERTIS POUR LE TSA</t>
  </si>
  <si>
    <t>12- REGRAS DO ESPECIALISTA PARA TSA</t>
  </si>
  <si>
    <t>REGRAS DE ESPECIALISTA  PARA SALMONELLA</t>
  </si>
  <si>
    <t xml:space="preserve">Review a patient AST report for a Salmonella or Shigella isolate. Were any of the following drug classes tested or reported? </t>
  </si>
  <si>
    <t>Examiner le rapport d'un TSA d'un patient présentant un isolat de Salmonella ou de Shigella. L'une des classes de médicaments suivantes at-elle été testée ou rapportée?</t>
  </si>
  <si>
    <t>Revise un informe de PSA para un aislado de Salmonella o Shigella de muestra de paciente. ¿Alguno de los siguientes antibióticos fue probado o notificado?</t>
  </si>
  <si>
    <t>Avaliar um resultado de TSA para um isolado de Salmonella ou Shigella na amostra de paciente. Algumas das seguintes classes de antibióticos foram testadas ou relatadas?</t>
  </si>
  <si>
    <t>These drugs may appear active in vitro but are not effective clinically against Salmonella or Shigella and should not be reported as susceptible, regardless of the AST result.</t>
  </si>
  <si>
    <t>Ces médicaments peuvent sembler actifs in vitro, mais ne sont pas efficaces sur le plan clinique contre Salmonella ou Shigella et ne devraient pas être rapportés comme sensibles, quel que soit le résultat du test de TSA.</t>
  </si>
  <si>
    <t>Estos medicamentos pueden parecer activos in vitro, pero no son clínicamente efectivos contra Salmonella o Shigella y no deben notificarse como sensibles, independientemente del resultado de la PSA.</t>
  </si>
  <si>
    <t>Estas drogas podem aparecer ativas in vitro, mas não são eficazes clinicamente contra Salmonella ou Shigella e não deve ser classificadas como sensíveis, independentemente do resultado do TSA.</t>
  </si>
  <si>
    <t>1st generation cephalosporins (cefazolin, cephalothin, cephapirin, cephadrine)</t>
  </si>
  <si>
    <t>Céphalosporines de première génération (céfazoline, céphalothine, céphapirine, céphadrine)</t>
  </si>
  <si>
    <t>Cefalosporinas de primera generación (cefazolina, cefalotina, cefapirina, cefalina)</t>
  </si>
  <si>
    <t>Cefalosporinas de 1ª geração (cefazolina, cefalotina, cefapirina, cefadrine)</t>
  </si>
  <si>
    <t>2nd generation cephalosporins (cefuroxime, cefonicid, cefamandole)</t>
  </si>
  <si>
    <t>Céphalosporines de 2e génération (céfuroxime, céfonicide, céfamandole)</t>
  </si>
  <si>
    <t>Cefalosporinas de segunda generación (cefuroxima, cefonicida, cefamandol)</t>
  </si>
  <si>
    <t>Cefalosporinas de 2ª geração  (cefuroxima, cefonicida, cefamandol)</t>
  </si>
  <si>
    <t>Cephamycins (cefoxitin, cefotetan)</t>
  </si>
  <si>
    <t>Céphamycines (céfoxitine, céfotétan)</t>
  </si>
  <si>
    <t>Cefamicinas (cefoxitina, cefotetano)</t>
  </si>
  <si>
    <t>Aminoglycosides (gentamicin, tobramycin, amikacin)</t>
  </si>
  <si>
    <t>Aminoglycosides (gentamicine, tobramycine, amikacine)</t>
  </si>
  <si>
    <t>Aminoglucósidos (gentamicina, tobramicina, amikacina)</t>
  </si>
  <si>
    <t>Aminoglicosídeos (gentamicina, tobramicina, amicacina)</t>
  </si>
  <si>
    <t>Does the lab use Nalidixic Acid to screen Salmonella isolates for ciprofloxacin resistance?</t>
  </si>
  <si>
    <t>Le laboratoire utilise-t-il l'acide nalidixique pour le dépistage de la résistance à la ciprofloxacine des isolats de Salmonella?</t>
  </si>
  <si>
    <t>¿Utiliza el laboratorio el ácido nalidíxico para buscar aislados de Salmonella resistentes a la ciprofloxacina?</t>
  </si>
  <si>
    <t>O laboratório utiliza ácido nalidixo para buscar isolados de Salmonella resistentes a ciprofloxacina?</t>
  </si>
  <si>
    <t xml:space="preserve">Compare the lab’s AST bench aids and SOPs to the Salmonella table in the Assessor’s Guide. Does the lab use the correct fluoroquinolone (FQ) breakpoints for Salmonella spp? </t>
  </si>
  <si>
    <t xml:space="preserve">Comparez les aides mémoires et POS du laboratoire pour les TSA avec le tableau "Salmonella" dans le Guide de l’évaluateur. Le laboratoire utilise-t-il les seuils corrects pour les fluoroquinolones (FQ) pour Salmonella spp? </t>
  </si>
  <si>
    <t xml:space="preserve">Compare los POEs y documentos de ayuda de poyata sobre PSA con la tabla "Salmonella" en la Guía del asesor. ¿Utiliza el laboratorio los puntos de corte correctos de fluoroquinolona (FQ) para Salmonella spp? </t>
  </si>
  <si>
    <t xml:space="preserve">Compare os POPs e as instruções de bancada sobre TSA do laboratório com a tabela "Salmonella" no Guia do Assessor. O laboratório utiliza pontos de corte corretos de fluoroquinolona (FQ) para Salmonella spp? </t>
  </si>
  <si>
    <t>(Enterobacteriaceae FQ breakpoints should not be used for Salmonella spp).</t>
  </si>
  <si>
    <t>(Les seuils des Enterobacteriaceae ne doivent pas être utilisés pour Salmonella spp).</t>
  </si>
  <si>
    <t>(Los puntos de corte de FQ para  Enterobacteriaceae no deben usarse para Salmonella spp).</t>
  </si>
  <si>
    <t>(Pontos de corte de FQ para Enterobacteriaceae não devem ser utilizados para Salmonella spp).</t>
  </si>
  <si>
    <t>GRAM NÉGATIFS ET SEUILS POUR LES BETA-LACTAMINES</t>
  </si>
  <si>
    <t xml:space="preserve">GRAM NEGATIVOS Y PUNTOS DE CORTE DE BETALACTÁMICOS </t>
  </si>
  <si>
    <t xml:space="preserve">GRAM NEGATIVOS E PONTOS DE CORTE DE BETALACTÂMICOS </t>
  </si>
  <si>
    <t>IMPORTANT! Please read the information below before proceeding:</t>
  </si>
  <si>
    <t>IMPORTANT! Veuillez lire les informations ci-dessous avant de continuer:</t>
  </si>
  <si>
    <t>¡IMPORTANTE! Por favor, lea la información a continuación antes de continuar:</t>
  </si>
  <si>
    <t>IMPORTANTE! Por favor, leia a informação abaixo antes de continuar:</t>
  </si>
  <si>
    <t xml:space="preserve">Beginning in 2009, CLSI and EUCAST lowered the breakpoints for several beta-lactam antibiotics and Aztreonam in order to enhance the detection of resistance. </t>
  </si>
  <si>
    <t>À compter de 2009, le CLSI et EUCAST ont abaissé les seuils de plusieurs  bêta-lactamines et de l'Aztréonam afin d'améliorer la détection de la résistance.</t>
  </si>
  <si>
    <t>A partir de 2009, CLSI y EUCAST redujeron los puntos de corte de varios antibióticos betalactámicos y Aztreonam para mejorar la detección de resistencia.</t>
  </si>
  <si>
    <t xml:space="preserve">A partir de 2009, CLSI e EUCAST reduziram os pontos de corte para vários antibióticos beta-lactâmicos e Aztreonam, a fim de melhorar a detecção de resistência. </t>
  </si>
  <si>
    <t>Even if a laboratory has current CLSI or EUCAST manuals, they may have failed to update their bench aids and SOPs to reflect current breakpoints.</t>
  </si>
  <si>
    <t>Même si un laboratoire possède des manuels CLSI ou EUCAST à jour, il se peut qu'ils n'aient pas mis à jour leurs aide-mémoire et SOP pour refléter les seuils actuels.</t>
  </si>
  <si>
    <t>Incluso si un laboratorio tiene manuales actualizados de CLSI o EUCAST, es posible que no hayan podido actualizar sus documentos de ayuda de poyata y POEs para reflejar los puntos de corte actuales.</t>
  </si>
  <si>
    <t>Mesmo que um laboratório possua manuais atuais do CLSI ou do EUCAST, eles podem ter falhado em atualizar suas instruções de  bancada e POPs para refletir os pontos de corte atuais.</t>
  </si>
  <si>
    <t>Since the bench aids and SOPs are used by technologists for AST interpretation, it is crucial that these are up to date as well.</t>
  </si>
  <si>
    <t>Puisque les aides-mémoire et les SOP sont utilisés par les techniciens pour l'interprétation des antibiogrammes il est essentiel qu'ils soient également à jour.</t>
  </si>
  <si>
    <t>Dado que los técnicos del laboratorio utilizan los documentos de ayuda de poyata y los POEs para la interpretación de las PSA, es crucial que éstos estén también actualizados.</t>
  </si>
  <si>
    <t>Considerando que as instruções de bancada e os POPs são usados ​​pelos técnicos para a interpretação do TSA, é crucial que eles também estejam atualizados.</t>
  </si>
  <si>
    <t xml:space="preserve">The Assessor’s Guide shows the current breakpoints for these antibiotics. Compare this table to the bench aids and SOPs the technologists use for zone size and MIC interpretation. </t>
  </si>
  <si>
    <t>Le Guide de l'évaluateur indique les seuils actuels pour ces antibiotiques. Comparez ce tableau aux aides mémoire et aux PONs utilisées par les technologistes pour interpréter la taille de la zone et l'interprétation de la CIM.</t>
  </si>
  <si>
    <t>La Guía del Asesor muestra los puntos de corte actuales para estos antibióticos. Compare esta tabla con los documentos de ayuda de poyata y los POE que usan los técnicos parala interpretación de los halos de inhibición y CMIs.</t>
  </si>
  <si>
    <t>A Guia do Assessor mostra os pontos de cortes atuais para estes antibióticos. Compare esta tabela com as instruções de bancada e POPs que os técnicos utilizam para a interpretação os halos de inibição e MICs.</t>
  </si>
  <si>
    <t>Do the bench aids and SOPs have the current breakpoints for the following combinations?</t>
  </si>
  <si>
    <t>Les aides-mémoire et les SOP comprennent-ils les seuils actuels pour les combinaisons suivantes?</t>
  </si>
  <si>
    <t>¿Los documentos de ayuda de poyata y los POE tienen los puntos de corte actualizados para las siguientes combinaciones?</t>
  </si>
  <si>
    <t>As instruções de bancada e os POPs têm os pontos de corte atuais para as seguintes combinações?</t>
  </si>
  <si>
    <t>(Select NA if the antibiotic is not in use)</t>
  </si>
  <si>
    <t>(Sélectionnez NA si l'antibiotique n'est pas utilisé)</t>
  </si>
  <si>
    <t>(Seleccione NA si el antibiótico no está en uso)</t>
  </si>
  <si>
    <t>(Selecione NA se o antibiótico não está em uso)</t>
  </si>
  <si>
    <t>Enterobacteriaceae and Aztreonam</t>
  </si>
  <si>
    <t>Enterobacteriaceae et Aztreonam</t>
  </si>
  <si>
    <t>Enterobacteriaceae y Aztreonam</t>
  </si>
  <si>
    <t>Enterobacteriaceae e Aztreonam</t>
  </si>
  <si>
    <t>Enterobacteriaceae and Cefotaxime</t>
  </si>
  <si>
    <t>Enterobacteriaceae et Cefotaxime</t>
  </si>
  <si>
    <t>Enterobacteriaceae y Cefotaxima</t>
  </si>
  <si>
    <t>Enterobacteriaceae e Cefotaxima</t>
  </si>
  <si>
    <t>Enterobacteriaceae and Ceftriaxone</t>
  </si>
  <si>
    <t>Enterobacteriaceae et Ceftriaxone</t>
  </si>
  <si>
    <t>Enterobacteriaceae y Ceftriaxona</t>
  </si>
  <si>
    <t>Enterobacteriaceae e Ceftriaxona</t>
  </si>
  <si>
    <t>Enterobacteriaceae and Ceftazidime</t>
  </si>
  <si>
    <t>Enterobacteriaceae et Ceftazidime</t>
  </si>
  <si>
    <t>Enterobacteriaceae y Ceftazidima</t>
  </si>
  <si>
    <t>Enterobacteriaceae e Ceftazidime</t>
  </si>
  <si>
    <t>Enterobacteriaceae and Cefepime</t>
  </si>
  <si>
    <t>Enterobacteriaceae et Cefepime</t>
  </si>
  <si>
    <t>Enterobacteriaceae y Cefepima</t>
  </si>
  <si>
    <t>Enterobacteriaceae e Cefepime</t>
  </si>
  <si>
    <t>Enterobacteriaceae and Imipenem</t>
  </si>
  <si>
    <t>Enterobacteriaceae et Imipeneme</t>
  </si>
  <si>
    <t>Enterobacteriaceae e Imipenem</t>
  </si>
  <si>
    <t>Enterobacteriaceae and Meropenem</t>
  </si>
  <si>
    <t>Enterobacteriaceae et Méropéneme</t>
  </si>
  <si>
    <t>Enterobacteriaceae y Meropenem</t>
  </si>
  <si>
    <t>Enterobacteriaceae e Meropenem</t>
  </si>
  <si>
    <t>Enterobacteriaceae and Ertapenem</t>
  </si>
  <si>
    <t>Enterobacteriaceae et Ertapeneme</t>
  </si>
  <si>
    <t>Enterobacteriaceae y Ertapenem</t>
  </si>
  <si>
    <t>Enterobacteriaceae e Ertapenem</t>
  </si>
  <si>
    <t>Enterobacteriaceae and Doripenem</t>
  </si>
  <si>
    <t>Enterobacteriaceae et Doripeneme</t>
  </si>
  <si>
    <t>Enterobacteriaceae y Doripenem</t>
  </si>
  <si>
    <t>Enterobacteriaceae e Doripenem</t>
  </si>
  <si>
    <t>Acinetobacter and Imipenem</t>
  </si>
  <si>
    <t>Acinetobacter et Imipeneme</t>
  </si>
  <si>
    <t>Acinetobacter e Imipenem</t>
  </si>
  <si>
    <t>Acinetobacter and Meropenem</t>
  </si>
  <si>
    <t>Acinetobacter et méropénème</t>
  </si>
  <si>
    <t>Acinetobacter y Meropenem</t>
  </si>
  <si>
    <t>Acinetobacter e Meropenem</t>
  </si>
  <si>
    <t>Acinetobacter and Doripenem</t>
  </si>
  <si>
    <t>Acinetobacter et Doripeneme</t>
  </si>
  <si>
    <t>Acinetobacter y Doripenem</t>
  </si>
  <si>
    <t>Acinetobacter e Doripenem</t>
  </si>
  <si>
    <t>Pseudomonas and Cefepime</t>
  </si>
  <si>
    <t>Pseudomonas et Cefepime</t>
  </si>
  <si>
    <t>Pseudomonas y cefepima</t>
  </si>
  <si>
    <t>Pseudomonas e Cefepime</t>
  </si>
  <si>
    <t>Pseudomonas and Piperacillin</t>
  </si>
  <si>
    <t>Pseudomonas et Pipéracilline</t>
  </si>
  <si>
    <t>Pseudomonas y Piperacilina</t>
  </si>
  <si>
    <t>Pseudomonas e Piperacilina</t>
  </si>
  <si>
    <t>Pseudomonas and Piperacillin-Tazobactam</t>
  </si>
  <si>
    <t>Pseudomonas et Pipéracilline-Tazobactam</t>
  </si>
  <si>
    <t>Pseudomonas y Piperacilina-Tazobactam</t>
  </si>
  <si>
    <t>Pseudomonas e Piperacilina-Tazobactam</t>
  </si>
  <si>
    <t>Pseudomonas and Ticarcillin-Clavulanate</t>
  </si>
  <si>
    <t>Pseudomonas et Ticarcilline-Clavulanate</t>
  </si>
  <si>
    <t>Pseudomonas y clavulanato de ticarcilina</t>
  </si>
  <si>
    <t>Pseudomonas e Ticarcillin-Clavulanato</t>
  </si>
  <si>
    <t>Pseudomonas and Imipenem</t>
  </si>
  <si>
    <t>Pseudomonas et Imipeneme</t>
  </si>
  <si>
    <t>Pseudomonas e Imipenem</t>
  </si>
  <si>
    <t>Pseudomonas and Meropenem</t>
  </si>
  <si>
    <t>Pseudomonas et Méropéneme</t>
  </si>
  <si>
    <t>Pseudomonas y Meropenem</t>
  </si>
  <si>
    <t>Pseudomonas e Meropenem</t>
  </si>
  <si>
    <t>Pseudomonas and Doripenem</t>
  </si>
  <si>
    <t>Pseudomonas et Doripeneme</t>
  </si>
  <si>
    <t>Pseudomonas y Doripenem</t>
  </si>
  <si>
    <t>Pseudomonas e Doripenem</t>
  </si>
  <si>
    <t>TESTS PHENOTYPIQUES POUR LES BLSE</t>
  </si>
  <si>
    <t>PRUEBAS PARA LA DETECCIÓN FENOTÍPICA DE BLEE</t>
  </si>
  <si>
    <t>TETES PARA A DETECÇÃO FENOTÍPICA DA ESBL</t>
  </si>
  <si>
    <t>NOTE: Questions 12.26 and 12.27 only apply to labs that do NOT use current cephalosporin and aztreonam breakpoints. If this lab uses current breakpoints, select NA for both questions and skip to question 12.28</t>
  </si>
  <si>
    <t>REMARQUE: Les questions 12.26 et 12.27 ne concernent que les laboratoires n'utilisant PAS les seuils actuels des céphalosporine et de l'aztréonam. Si ce laboratoire utilise les seuils actuels, sélectionnez NA pour les deux questions et passez à la question 12.28.</t>
  </si>
  <si>
    <t>NOTA: Las preguntas 12.26 y 12.27 solo se aplican a los laboratorios que NO utilizan los puntos de corte actuales de cefalosporina y aztreonam. Si este laboratorio utiliza puntos de corte actuales, seleccione NA para ambas preguntas y pase a la pregunta 12.28</t>
  </si>
  <si>
    <t>NOTA: As perguntas 12.26 e 12.27 só se aplicam aos laboratórios que NÃO usam os pontos de corte atuais de cefalosporina e aztreonam. Se este laboratório usa pontos de corte atualizados, selecione NA para ambas as perguntas e passe para a pergunta 12.28</t>
  </si>
  <si>
    <t>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t>
  </si>
  <si>
    <t>Les laboratoires qui n'utilisent PAS les seuils actuels pour les céphalosporines et l'aztréonam doivent effectuer des tests phénotypique en routinepour les BLSE. Pour les isolats positifs pour les BLSE, toutes les pénicillines, céphalosporines et aztréonam sensibles au test doivent être déclarés résistants. Cette pratique (modification des interprétations des BLSE + de S à R) est-elle en place?</t>
  </si>
  <si>
    <t>Los laboratorios que NO usan los puntos de corte actuales de cefalosporina y aztreonam deben realizar pruebas de rutina para la detección fenotípica de BLEE. Para los aislamientos positivos para BLEE, todas las penicilinas, cefalosporinas y aztreonam que sean sensibles deben informarse como resistentes. ¿Se aplica esta práctica (cambiar las interpretaciones de BLEE + de S a R)?</t>
  </si>
  <si>
    <t>Os laboratórios que NÃO usam pontos de corte atuais de cefalosporina e aztreonam devem executar testes de rotina para a detecção fenotípica de ESBL. Para os isolados positivos para ESBL, todas as penicilinas, cefalosporinas e aztreonam que testem sensíveis devem ser classificados como resistentes. Esta prática é aplicada (alterar as interpretações ESBL+ de S para R)?</t>
  </si>
  <si>
    <t>Labs that do NOT use current aztreonam and cephalosporin breakpoints should attach a warning comment to the report for ESBL-positive organisms: “ESBL-producers should be considered clinically resistant to all penicillins, cephalosporins, and aztreonam.” Is this practice in place?</t>
  </si>
  <si>
    <t>Les laboratoires n'utilisant PAS les seuils actuels pour l'aztréonam et les céphalosporines doivent joindre un commentaire d'avertissement au compte-rendu concernant les bactéries productrices de BLSE: «Les producteurs de BLSE doivent être considérés comme cliniquement résistants à toutes les pénicillines, céphalosporines et à l'aztréonam.» Cette pratique est-elle en place?</t>
  </si>
  <si>
    <t>Los laboratorios que NO usan los puntos de corte actuales de aztreonam y cefalosporina deben adjuntar un comentario de advertencia al informe para organismos positivos a BLEE: "Los productores de BLEE deben considerarse clínicamente resistentes a todas las penicilinas, cefalosporinas y aztreonam". ¿Se aplica esta práctica?</t>
  </si>
  <si>
    <t>Os laboratórios que NÃO usam pontos de corte atuais de cefalosporina e aztreonam  devem anexar um comentário de advertência no resultado  dos organismos ESBL positivos: “Os produtores de ESBL devem ser considerados resistentes clinicamente para todas as penicilinas, cefalosporinas e aztreonam.” Esta prática é aplicada?</t>
  </si>
  <si>
    <t>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t>
  </si>
  <si>
    <t>Pour les laboratoires qui utilise les seuils actuels en céphalosporine et en aztréonam, le CLSI et EUCAST ne recommandent plus les tests de routine du phénotype des BLSE. En outre, si des tests de BLSE sont effectués et que le test est positif, les interprétations pour les agents bêta-lactamines NE doivent PAS être modifiées de sensible à résistant. Le laboratoire a-t-il cessé de modifier les résultats des TSA sur la base des résultats pour les BLSE?</t>
  </si>
  <si>
    <t>Para los laboratorios que SÍ utilizan los puntos de corte actuales de cefalosporinas y aztreonam, CLSI y EUCAST ya no recomiendan realizar pruebas de rutina para la detección fenotípica de BLEE. Además, si se realiza la prueba BLEE y la prueba es positiva, las interpretaciones para los agentes betalactámicos NO necesitan cambiarse de susceptibles a resistentes. ¿Ha dejado el laboratorio de editar los resultados de las PSA basados ​​en el resultado de la prueba de BLEE?</t>
  </si>
  <si>
    <t>Para laboratórios que utilizam pontos de corte atuais de cefalosporina e aztreonam, CLSI e EUCAST não recomendam realizar testes de rotina para detecção fenotípica de ESBL. Além disso, se o teste de ESBL é realizado e o teste é positivo, as interpretações para os agentes beta lactâmicos NÃO precisam ser mudados de sensíveis  a resistentes. O laboratório deixou de  editar os resultados do TSA  com base no resultado do teste de ESBL?</t>
  </si>
  <si>
    <t>Note: Select NA for the question above if the lab does NOT use current cephalosporin and aztreonam breakpoints</t>
  </si>
  <si>
    <t>Remarque: sélectionnez NA pour la question ci-dessus si le laboratoire N'UTILISE PAS les seuils actuels des céphalosporine et de l'aztréonam.</t>
  </si>
  <si>
    <t>Nota: Seleccione NA para la pregunta anterior si el laboratorio NO utiliza los puntos de corte actuales de cefalosporina y aztreonam</t>
  </si>
  <si>
    <t>Nota: Selecione NA para a pergunta acima se o laboratório NÃO utiliza pontos de cortes atualizados de cefalosporina e aztreonam</t>
  </si>
  <si>
    <t xml:space="preserve">Does the lab perform any phenotypic tests for ESBL production? Including disks, gradient strips, or a screening well in an automated system. </t>
  </si>
  <si>
    <t>Le laboratoire effectue-t-il des tests phénotypiques pour la production de BLSE? Y compris des disques, des bandelettes graduées ou un puits de dépistage dans un système automatisé.</t>
  </si>
  <si>
    <t>¿Realiza el laboratorio pruebas fenotípicas para la producción de BLEE? Incluyendo discos, tiras de gradiente o bandejas con pocillos en un sistema automatizado.</t>
  </si>
  <si>
    <t>O laboratório executa quaisquer testes fenotípicos para a produção de ESBL? Incluindo discos, tiras de gradiente, ou um placas com poços em um sistema automatizado.</t>
  </si>
  <si>
    <t>If no, answer NA until Carbapenemase Testing Section</t>
  </si>
  <si>
    <t>Si non, répondez NA jusqu'à la section de test de carbapénémase</t>
  </si>
  <si>
    <t>Si no, responda NA hasta la Sección de Pruebas de Carbapenemasa</t>
  </si>
  <si>
    <t>Se não, responder NA até Seção de Provas de  Carbapenemases</t>
  </si>
  <si>
    <t>Does the phenotypic ESBL method include testing both cefotaxime (or ceftriaxone) AND ceftazidime alone and in combination with clavulanic acid?</t>
  </si>
  <si>
    <t>La méthode phénotypique des BLSE inclut-elle l’analyse du céfotaxime (ou de la ceftriaxone) ET de la ceftazidime seuls et en association avec de l’acide clavulanique?</t>
  </si>
  <si>
    <t>¿Incluye el método de detección fenotípica de BLEE tanto cefotaxima (o ceftriaxona) COMO ceftazidima sola y en combinación con ácido clavulánico?</t>
  </si>
  <si>
    <t>O método de detecção fenotípica de ESBL incluem tanto cefotaxima (ou Ceftriaxona) E ceftazidima sozinha e em combinação com ácido clavulânico?</t>
  </si>
  <si>
    <t>Does the lab perform any genotypic tests for ESBL production? (e.g., PCR)</t>
  </si>
  <si>
    <t>Le laboratoire effectue-t-il des tests génotypiques pour la production de BLSE? (Par exemple PCR)</t>
  </si>
  <si>
    <t>¿Realiza el laboratorio pruebas de detección genotípica de producción de BLEE? (Por ejemplo, PCR)</t>
  </si>
  <si>
    <t>O laboratório executa quaisquer testes de detecção genotípicas para a produção de ESBL? (Por exemplo,PCR)</t>
  </si>
  <si>
    <t>Do records indicate that quality control for ESBL testing is done either on a weekly basis or each time the test is performed?</t>
  </si>
  <si>
    <t>Les enregistrements indiquent-ils que le contrôle qualité des tests de BLSE est effectué toutes les semaines ou à chaque fois qu'un test est effectué?</t>
  </si>
  <si>
    <t>¿Indican los registros si el CC de las pruebas de detección de BLEE  se realiza semanalmente o cada vez que se realiza la prueba?</t>
  </si>
  <si>
    <t>Os registros indicam que o controle de qualidade para testes de ESBL é feito em uma base semanal ou cada vez que o teste é realizado?</t>
  </si>
  <si>
    <t>Do records indicate that lab uses both positive and negative control organisms to QC the ESBL test in use? (A commonly used ESBL-positive strain is Klebsiella pneumoniae ATCC 700603)</t>
  </si>
  <si>
    <t>Les enregistrements indiquent-ils que le laboratoire utilise à la fois les organismes de contrôle positifs et négatifs pour effectuer le  CQ du test de recherche de BLSE en cours d'utilisation ? (Une souche productrice de BLSE couramment utilisée est Klebsiella pneumoniae ATCC 700603)</t>
  </si>
  <si>
    <t>¿Indican los registros si el laboratorio utiliza organismos de control positivo y negativo para el CC de la prueba de detección de BLEE que esté en uso? (Una cepa positiva productora de BLEE comúnmente utilizada es Klebsiella pneumoniae ATCC 700603)</t>
  </si>
  <si>
    <t>Os registros indicam que laboratório usa ambos os organismos de controle positivo e negativo para CQ do teste de ESBL em uso? (a cepa ESBL positiva  comumente utilizada é Klebsiella pneumoniae ATCC 700603)</t>
  </si>
  <si>
    <t>When an ESBL-positive is confirmed, is infection control notified by the lab?</t>
  </si>
  <si>
    <t>Lorsqu'un test de diagnostic de BLSE est positif, l'Equipe de contrôle des infections est-elle avertie par le laboratoire?</t>
  </si>
  <si>
    <t>Cuando se confirma un resultado positivo de BLEE, ¿notifica el laboratorio al equipo de control de infecciones?</t>
  </si>
  <si>
    <t>Quando um resultado ESBL positivo é confirmado, a equipe de controle de infecção é notificada pelo laboratório?</t>
  </si>
  <si>
    <t xml:space="preserve">TEST PHENOTYPIQUE DE CARBAPENEMASE </t>
  </si>
  <si>
    <t>PRUEBAS PARA LA DETECCIÓN FENOTÍPICA DE CARBAPENEMASAS</t>
  </si>
  <si>
    <t>PROVAS PARA A DETECÇÃO FENOTÍPICA DE CARBAPENEMASES</t>
  </si>
  <si>
    <t>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t>
  </si>
  <si>
    <t>Les laboratoires qui n'utilisent PAS les seuils en vigueur pour les carbapénèmes doivent effectuer des tests de routine pour la production de carbapénémase (par exemple, CarbaNP, mCIM ou un dosage moléculaire). Si une carbapénémase est détectée, tous les carbapénèmes testés doivent être considérés comme résistantes. Cette pratique (modification des résultats de S à R basée sur le résultat positif du testde carbapénémase) est-elle en place?</t>
  </si>
  <si>
    <t>Los laboratorios que NO utilizan los puntos de corte actuales de carbapenem deben realizar pruebas de rutina para detectar la producción de carbapenemasas (por ejemplo, CarbaNP, mCIM o un ensayo molecular). Si se detecta una carbapenemasa, todos los carbapenems que prueben susceptibles deben informarse como resistentes. ¿Se aplica esta práctica (cambiar los resultados de S a R en función del resultado positivo de la prueba de carbapenemasas)?</t>
  </si>
  <si>
    <t>Os laboratórios que NÃO utilizam pontos de corte atuais de carbapenem  devem executar testes de rotina para detectar a produção de Carbapenemases (ex. CarbaNP, MCIM, ou um ensaio molecular). Se uma Carbapenemases é detectada, todos os carbapêmicos que testam sensíveis devem ser classificados como resistentes. Esta prática é aplicada (alterar resultados de S para R com base no resultado positivo do teste de Carbapenemases)?</t>
  </si>
  <si>
    <t>Note: Select NA if the lab uses current breakpoints</t>
  </si>
  <si>
    <t>Remarque: sélectionnez NA si le laboratoire utilise les seuils en vigueur.</t>
  </si>
  <si>
    <t>Nota: Seleccione NA si el laboratorio usa puntos de corte actuales</t>
  </si>
  <si>
    <t>Nota: Selecione NA se o laboratório utiliza pontos de corte atuais de carbapenem</t>
  </si>
  <si>
    <t>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t>
  </si>
  <si>
    <t>Pour les laboratoires qui utilisent les seuils en vigueur pour la carbapénème, CLSI et EUCAST ne recommandent plus les tests de routine pour la production de carbapénémase. En outre, si de tels tests sont effectués et que le test est positif, il n'est PAS nécessaire de modifier l'interprétation des carbapénèmes de sensible à résistant. Le laboratoire a-t-il cessé de réviser les résultats du TSA sur la base du résultat du test de carbapénémase?</t>
  </si>
  <si>
    <t>Para los laboratorios que SÍ usan los puntos de corte actuales de carbapenem, CLSI y EUCAST ya no recomiendan pruebas de rutina para detectar la producción de carbapenemasas. Además, si se realiza dicha prueba y la prueba es positiva, las interpretaciones para carbapenems NO necesitan cambiarse de susceptibles a resistentes. ¿Ha dejado el laboratorio de editar los resultados de las PSA basados ​​en el resultado de carbapenemasas?</t>
  </si>
  <si>
    <t>Para laboratórios que usam pontos de corte atuais de carbapenem, CLSI e EUCAST não recomendam testes de rotina para a detectar a produção de Carbapenemases. Além disso, se a testagem é realizada e o teste é positivo, as interpretações de carbapêmicos NÃO precisam de ser mudados de sensível a resistente. O laboratório deixou de  editar os resultados do TSA  com base no resultado do teste de Carbapenemases?</t>
  </si>
  <si>
    <t>Note: Select NA if the lab does NOT use current breakpoints</t>
  </si>
  <si>
    <t>Remarque: sélectionnez NA si le laboratoire N'UTILISE PAS les seuils en vigueur.</t>
  </si>
  <si>
    <t>Nota: Seleccione NA si el laboratorio NO usa puntos de corte actuales</t>
  </si>
  <si>
    <t>Nota: Selecione NA se o laboratório NÃO utiliza pontos de corte atuais de carbapenem</t>
  </si>
  <si>
    <t>Does the lab perform any of the following phenotypic tests for carbapenemase production?</t>
  </si>
  <si>
    <t>Le laboratoire effectue-t-il l'un des tests phénotypiques suivants pour la production de carbapénémase?</t>
  </si>
  <si>
    <t>¿El laboratorio realiza alguna de las siguientes pruebas fenotípicas para detectar la producción de carbapenemasas?</t>
  </si>
  <si>
    <t>O laboratório realiza alguma das seguintes provas fenotípicas para a produção de Carbapenemases?</t>
  </si>
  <si>
    <t>Modified Hodge test</t>
  </si>
  <si>
    <t>Test de Hodge modifié</t>
  </si>
  <si>
    <t>Prueba de Hodge modificada</t>
  </si>
  <si>
    <t>Teste de Hodge modificado</t>
  </si>
  <si>
    <t>Other disk method, e.g., combination disk test or double disk synergy</t>
  </si>
  <si>
    <t xml:space="preserve">Autre méthode en disque, par exemple, test de disque combiné ou test de synergie de disques </t>
  </si>
  <si>
    <t>Otro método con discos, por ejemplo, prueba de combinación de discos o sinergia de doble disco</t>
  </si>
  <si>
    <t>Outro método de disco, por exemplo, teste de combinação de discos ou sinergia de disco duplo</t>
  </si>
  <si>
    <t>MIC Strip test, e.g., Etest KPC, MBL or Liofilchem MRP/MBO, ETP/EBO</t>
  </si>
  <si>
    <t>Test CMI en bandelette par exemple, Etest KPC, MBL ou Liofilchem ​​MRP / MBO, ETP / EBO</t>
  </si>
  <si>
    <t>Prueba de la CMI en tira, por ejemplo, Etest KPC, MBL o Liofilchem ​​MRP / MBO, ETP / EBO</t>
  </si>
  <si>
    <t>Prova de MIC em tira, por exemplo, Etest KPC, a MBL ou Liofilchem ​​MRP / MBO, ETP / EBO</t>
  </si>
  <si>
    <t>Biochemical (colorimetric) test, e.g., CarbaNP, BCT, or β CARBA</t>
  </si>
  <si>
    <t>Test biochimique (colorimétrique), par ex. CarbaNP, BCT ou β CARBA</t>
  </si>
  <si>
    <t>Prueba bioquímica (colorimétrica), Ej. CarbaNP, BCT o β CARBA</t>
  </si>
  <si>
    <t>Provas Bioquímica (colorimétrica), por exemplo CarbaNP, BCT, ou β CARBA</t>
  </si>
  <si>
    <t>Chromogenic agar specific for carbapenemase producers</t>
  </si>
  <si>
    <t>Gélose chromogénique spécifique pour les bactéries productrices de carbapénémase</t>
  </si>
  <si>
    <t>Agar cromogénico específico para productores de carbapenemasas</t>
  </si>
  <si>
    <t>Agar cromogênico específico para produtores de Carbapenemases</t>
  </si>
  <si>
    <t>Modified carbapenem inactivation method (MCIM)</t>
  </si>
  <si>
    <t>Méthode d'inactivation des carbapénèmes modifiée (MICM)</t>
  </si>
  <si>
    <t>Método de Inactivación del Carbapenémico modificado (MCIM)</t>
  </si>
  <si>
    <t>Método de Inativação de Carbapenem Modificado  (MCIM)</t>
  </si>
  <si>
    <t>Does the lab perform any genotypic tests for carbapenemase production? (e.g., PCR, GeneXpert, etc.)</t>
  </si>
  <si>
    <t>Le laboratoire effectue-t-il des tests génotypiques pour la production de carbapénémase? (Par exemple PCR, GeneXpert, etc.)</t>
  </si>
  <si>
    <t>¿Realiza el laboratorio pruebas genotípicas para detectar la producción de carbapenemasas? (Por ejemplo, PCR, GeneXpert, etc.)</t>
  </si>
  <si>
    <t>O laboratório realiza alguma prova genotípica para detectar a produção Carbapenemases? (Ex., PCR, GeneXpert, etc.)</t>
  </si>
  <si>
    <t xml:space="preserve">Do records indicate that quality control is done each time carbapenemase testing is performed? </t>
  </si>
  <si>
    <t>Les enregistrements indiquent-ils que le contrôle de la qualité est effectué chaque fois qu'un test de carbapénémase est effectué?</t>
  </si>
  <si>
    <t>¿Indican los registros si el CC se realiza cada vez que se hace la prueba de detección de carbapenemasas?</t>
  </si>
  <si>
    <t>Os registros indicam que o controle de qualidade é feito cada vez que o teste Carbapenemases é realizado?</t>
  </si>
  <si>
    <t xml:space="preserve">Do records indicate that lab uses both positive and negative control organisms to QC the carbapenemase test in use? </t>
  </si>
  <si>
    <t>Les enregistrements indiquent-ils que le laboratoire utilise à la fois les organismes de contrôle positifs et négatifs pour réaliser le test de carbapénémase utilisé?</t>
  </si>
  <si>
    <t>¿Indican los registros si el laboratorio utiliza organismos de control positivo y negativo para controlar la prueba de detección de carbapenemasas en uso?</t>
  </si>
  <si>
    <t xml:space="preserve">Os registros indicam que laboratório usa ambos os organismos de controle positivo e negativo para o CQ do teste Carbapenemases em uso? </t>
  </si>
  <si>
    <t>Commonly used carbapenemase positive strains include K. pneumoniae ATCC BAA-1705, K. pneumoniae CCUG 56233, and K. pneumoniae NCTC 13438</t>
  </si>
  <si>
    <t>Les souches productrices de carbapénémase couramment utilisées comprennent K. pneumoniae ATCC BAA-1705, K. pneumoniae CCUG 56233 et K. pneumoniae NCTC 13438</t>
  </si>
  <si>
    <t>Las cepas positivas productoras de carbapenemasas comúnmente utilizadas son K. pneumoniae ATCC BAA-1705, K. pneumoniae CCUG 56233 y K. pneumoniae NCTC 13438</t>
  </si>
  <si>
    <t>A cepas positivas produtoras de  Carbapenemases comumente utilizadas incluem K. pneumoniae ATCC BAA-1705, K. pneumoniae CCUG 56233 e  K. pneumoniae NCTC 13438</t>
  </si>
  <si>
    <t>When a carbapenemase producer is detected, is it noted on the final report to the clinician?</t>
  </si>
  <si>
    <t>Lorsqu'une bactérie productrice de carbapénémase est détectée, cela est-il noté dans le rapport final au clinicien?</t>
  </si>
  <si>
    <t>Cuando se detecta un productor de carbapenemasas, ¿se anota en el informe final que se da al médico?</t>
  </si>
  <si>
    <t>Quando um produtor Carbapenemases é detectado, é anotado no relatório final transmitido ao médico?</t>
  </si>
  <si>
    <t>When a carbapenemase producer is detected, is infection control notified by the lab?</t>
  </si>
  <si>
    <t>Lorsqu'une bactérie productrice de carbapénémase est détecté, le laboratoirea vertit-t-il l'Equipe de contrôle des infections?</t>
  </si>
  <si>
    <t>Cuando se detecta un productor de carbapenemasas, ¿notifica el laboratorio al equipo de control de infecciones?</t>
  </si>
  <si>
    <t>Quando um produtor Carbapenemases é detectado, a equipe de controle de infecção é notificada pelo laboratório?</t>
  </si>
  <si>
    <t>TEST DE COLISTINE</t>
  </si>
  <si>
    <t>PRUEBAS DE COLISTINA</t>
  </si>
  <si>
    <t>PROVAS DA COLISTINA</t>
  </si>
  <si>
    <t>Does the lab perform colistin AST? (Not scored. If No, skip to next section.)</t>
  </si>
  <si>
    <t>Le laboratoire effectue-t-il un TSA pour la colistine? (Non noté. Si non, passez à la section suivante.)</t>
  </si>
  <si>
    <t>¿Realiza el laboratorio PSA en colistin? (No puntuado. En caso negativo, pase a la siguiente sección).</t>
  </si>
  <si>
    <t>O laboratório realiza TSA em colistina? (Não pontua. Se Não, passe para a próxima seção).</t>
  </si>
  <si>
    <t>Which methods does the lab use for colistin AST? (Check all that apply)</t>
  </si>
  <si>
    <t>Quelles méthodes le laboratoire utilise-t-il pour le TSA de la colistine? (Cochez toutes les cases)</t>
  </si>
  <si>
    <t>¿Qué métodos de PSA usa el laboratorio para la colistina? (Marque todo lo que corresponda)</t>
  </si>
  <si>
    <t>Quais são os métodos de TSA que o laboratório  utiliza para a colistina? (Assinale todas que se aplicam)</t>
  </si>
  <si>
    <t>Disco-difusão</t>
  </si>
  <si>
    <t>Gradient strip (e.g., Etest/Liofilchem)</t>
  </si>
  <si>
    <t>Bandelette graduées (par exemple, Etest / Liofilchem)</t>
  </si>
  <si>
    <t>Tiras de gradiente (Ex, Etest / Liofilchem)</t>
  </si>
  <si>
    <t>Automated instrument (e.g., Vitek/Phoenix)</t>
  </si>
  <si>
    <t>Instrument automatisé (par exemple, Vitek / Phoenix)</t>
  </si>
  <si>
    <t>Instrumento automatizado (Ej., Vitek / Phoenix)</t>
  </si>
  <si>
    <t>Instrumento automatizado (Ex., Vitek / Phoenix)</t>
  </si>
  <si>
    <t>Broth microdilution (BMD) with Polysorbate 80</t>
  </si>
  <si>
    <t>Microdilution en bouillon (BMD) avec du Polysorbate 80</t>
  </si>
  <si>
    <t>Microdilución en caldo  con polisorbato 80</t>
  </si>
  <si>
    <t>Microdiluição em caldo (BMD) com Polissorbato 80</t>
  </si>
  <si>
    <t>Broth microdilution (BMD) without Polysorbate 80</t>
  </si>
  <si>
    <t>Microdilution en bouillon (BMD) sans Polysorbate 80</t>
  </si>
  <si>
    <t>Microdilución en caldo sin polisorbato 80</t>
  </si>
  <si>
    <t>Microdiluição em caldo (BMD) sem Polissorbato 80</t>
  </si>
  <si>
    <t>Colistin Broth Disk Elution (CBDE) Test</t>
  </si>
  <si>
    <t>Test d'élution en disque de bouillon de colistine (CBDE)</t>
  </si>
  <si>
    <t>Método de elución de discos de colistina en caldo (CBDE, por sus siglas en inglés)</t>
  </si>
  <si>
    <t xml:space="preserve">Método de eluição de discos de colistina em caldo (CBDE) </t>
  </si>
  <si>
    <t>Agar dilution (Colistin Agar Test)</t>
  </si>
  <si>
    <t>Diluição de ágar (Teste da Colistina em Ágar)</t>
  </si>
  <si>
    <t>Do records indicate that quality control for colistin AST is performed on either a weekly basis or each time the test is performed?</t>
  </si>
  <si>
    <t>Les enregistrements indiquent-ils que le contrôle de la qualité pour le TSA de la colistine est effectué toutes les semaines ou à chaque fois que le test est effectué?</t>
  </si>
  <si>
    <r>
      <t>¿Indican los registros si el CC de la PSA de colistina</t>
    </r>
    <r>
      <rPr>
        <sz val="10"/>
        <color rgb="FFFF0000"/>
        <rFont val="Calibri"/>
        <family val="2"/>
        <scheme val="minor"/>
      </rPr>
      <t xml:space="preserve"> </t>
    </r>
    <r>
      <rPr>
        <sz val="10"/>
        <color rgb="FF000000"/>
        <rFont val="Calibri"/>
        <family val="2"/>
        <scheme val="minor"/>
      </rPr>
      <t>se realiza semanalmente o cada vez que se realiza la prueba?</t>
    </r>
  </si>
  <si>
    <t>Os registros indicam que o controle de qualidade para TSA de colistina é realizada semanalmente ou cada vez que o teste é realizado?</t>
  </si>
  <si>
    <r>
      <t xml:space="preserve">Do records indicate that lab uses </t>
    </r>
    <r>
      <rPr>
        <sz val="10"/>
        <rFont val="Calibri"/>
        <family val="2"/>
        <scheme val="minor"/>
      </rPr>
      <t>appropriate</t>
    </r>
    <r>
      <rPr>
        <sz val="10"/>
        <color theme="1"/>
        <rFont val="Calibri"/>
        <family val="2"/>
        <scheme val="minor"/>
      </rPr>
      <t xml:space="preserve"> organisms to QC the colistin test in use? (P. aeruginosa 27853 </t>
    </r>
    <r>
      <rPr>
        <b/>
        <sz val="10"/>
        <color theme="1"/>
        <rFont val="Calibri"/>
        <family val="2"/>
        <scheme val="minor"/>
      </rPr>
      <t>AND</t>
    </r>
    <r>
      <rPr>
        <sz val="10"/>
        <color theme="1"/>
        <rFont val="Calibri"/>
        <family val="2"/>
        <scheme val="minor"/>
      </rPr>
      <t xml:space="preserve"> E. coli NCTC 13846 or E. coli AR Bank #0349).</t>
    </r>
  </si>
  <si>
    <r>
      <t xml:space="preserve">Les enregistrements indiquent-ils que le laboratoire utilise des organismes appropriés pour  CQ de le test de colistine utilisé? (P. aeruginosa 27853 </t>
    </r>
    <r>
      <rPr>
        <b/>
        <sz val="10"/>
        <color theme="1"/>
        <rFont val="Calibri"/>
        <family val="2"/>
        <scheme val="minor"/>
      </rPr>
      <t>ET</t>
    </r>
    <r>
      <rPr>
        <sz val="10"/>
        <color theme="1"/>
        <rFont val="Calibri"/>
        <family val="2"/>
        <scheme val="minor"/>
      </rPr>
      <t xml:space="preserve"> E. coli NCTC 13846 ou E. coli AR Bank # 0349)</t>
    </r>
  </si>
  <si>
    <r>
      <t xml:space="preserve">¿Indican los registros que el laboratorio utiliza organismos apropiados para el CC de la prueba de colistina en uso? (P. aeruginosa 27853 </t>
    </r>
    <r>
      <rPr>
        <b/>
        <sz val="10"/>
        <color rgb="FF000000"/>
        <rFont val="Calibri"/>
        <family val="2"/>
        <scheme val="minor"/>
      </rPr>
      <t>Y</t>
    </r>
    <r>
      <rPr>
        <sz val="10"/>
        <color rgb="FF000000"/>
        <rFont val="Calibri"/>
        <family val="2"/>
        <scheme val="minor"/>
      </rPr>
      <t xml:space="preserve"> E. coli NCTC 13846 o E.coli AR Bank # 0349.)</t>
    </r>
  </si>
  <si>
    <r>
      <t xml:space="preserve">Os registros indicam que o laboratório utiliza organismos apropriados para controlar o teste de colistina em uso? (P.aeruginosa 27853 </t>
    </r>
    <r>
      <rPr>
        <b/>
        <sz val="10"/>
        <color theme="1"/>
        <rFont val="Calibri"/>
        <family val="2"/>
        <scheme val="minor"/>
      </rPr>
      <t>E</t>
    </r>
    <r>
      <rPr>
        <sz val="10"/>
        <color theme="1"/>
        <rFont val="Calibri"/>
        <family val="2"/>
        <scheme val="minor"/>
      </rPr>
      <t xml:space="preserve"> E. coli NCTC 13846 ou E.coli AR Bank # 0349.)</t>
    </r>
  </si>
  <si>
    <t>When colistin resistance is detected, are any of the following notified?</t>
  </si>
  <si>
    <t>Lorsque la résistance à la colistine est détectée, l'un des éléments suivants est-il notifié?</t>
  </si>
  <si>
    <t>Cuando se detecta resistencia a la colistina, ¿se notifica a alguno de los siguientes?</t>
  </si>
  <si>
    <t>Quando a resistência a colistina é detectada,  algum  dos seguintes é notificado?</t>
  </si>
  <si>
    <t>Lab supervisor</t>
  </si>
  <si>
    <t>Superviseur de laboratoire</t>
  </si>
  <si>
    <t>Supervisor de laboratorio</t>
  </si>
  <si>
    <t>Supervisor de laboratório</t>
  </si>
  <si>
    <t>Infectious Disease team</t>
  </si>
  <si>
    <t>Equipe Maladies Infectieuses</t>
  </si>
  <si>
    <t>Equipo de enfermedades infecciosas</t>
  </si>
  <si>
    <t>Equipe de Doenças Infecciosas</t>
  </si>
  <si>
    <t>Infection Control team</t>
  </si>
  <si>
    <t>Équipe de contrôle des infections</t>
  </si>
  <si>
    <t>Equipo de control de infecciones</t>
  </si>
  <si>
    <t>Equipe de Controle de Infecção</t>
  </si>
  <si>
    <t>When colistin resistance is detected, is the isolate sent to a reference lab for molecular characterization (e.g., testing for mcr genes)?</t>
  </si>
  <si>
    <t>Lorsque la résistance à la colistine est détectée, l'isolat est-il envoyé à un laboratoire de référence pour une caractérisation moléculaire (par exemple, recherche de gènes mcr)?</t>
  </si>
  <si>
    <t>Cuando se detecta resistencia a la colistina, ¿se envía el aislado a un laboratorio de referencia para la caracterización molecular (por ejemplo, prueba para los genes mcr)?</t>
  </si>
  <si>
    <t>Quando se detecta resistência a colistina, o isolado é enviado para um laboratório de referência para a caracterização molecular (ex., teste para os genes mcr)?</t>
  </si>
  <si>
    <t xml:space="preserve">If the lab uses broth microdilution for colistin AST, is colistin sulfate used, not colistin methane sulfonate (sulfomethate)? </t>
  </si>
  <si>
    <t>Si le laboratoire utilise la microdilution en bouillon pour le TSA de la colistine, utilise-t-on du sulfate de colistine et non du méthane sulfonate de colistine (sulfométhate)?</t>
  </si>
  <si>
    <t>Si el laboratorio realiza la PSA de microdilución en caldo para colistina, ¿se usa sulfato de colistina, y no colistina metano-sulfonato (sulfometato)?</t>
  </si>
  <si>
    <t xml:space="preserve">Se o laboratório utiliza Microdiluição em caldo para TSA da colistina,  o sulfato de colistina é usado e não colistina metano-sulfonato (sulfometato)? </t>
  </si>
  <si>
    <t>The methane sulfonate derivative of colistin ("cms") is an inactive pro-drug that breaks down slowly in solution and therefore cannot be used for AST.</t>
  </si>
  <si>
    <t>Le dérivé méthanesulfonate de la colistine ("cms") est un promédicament inactif qui se décompose lentement en solution et ne peut donc pas être utilisé pour le TSA.</t>
  </si>
  <si>
    <t>El derivado de colistina metano-sulfonato ("cms") es un profármaco inactivo que se descompone lentamente en solución y, por lo tanto, no puede usarse para PSA.</t>
  </si>
  <si>
    <t>O derivado da colistina metano-sulfonato ( "cms") é uma pró-fármaco inativo que se decompõe lentamente em solução e, portanto, não pode ser usado para TSA.</t>
  </si>
  <si>
    <t>If the lab performs broth microdilution (BMD) for colistin AST, is cation-adjusted Mueller Hinton broth used?</t>
  </si>
  <si>
    <t>Si le laboratoire effectue la microdilution en bouillon (MDB) pour le TSA de la colistine, utilise-t-on un bouillon de Mueller Hinton avec des cations ajusté?</t>
  </si>
  <si>
    <t>Si el laboratorio realiza la PSA de microdilución en caldo  para colistina, ¿se usa el caldo Mueller Hinton con cationes ajustados?</t>
  </si>
  <si>
    <t>Se o laboratório realiza Microdiluição em caldo (BMD) para TSA da colistina, o caldo Mueller Hinton utilizado é ajustado com cátions?</t>
  </si>
  <si>
    <t>Answer NA if the lab does not perform BMD</t>
  </si>
  <si>
    <t>Répondre NA si le laboratoire ne réalise pas la MDB</t>
  </si>
  <si>
    <t>Responda NA si el laboratorio no realiza microdilución en caldo</t>
  </si>
  <si>
    <t>Responda NA se o laboratório não realiza Microdiluição em caldo (BMD)</t>
  </si>
  <si>
    <t>Do laboratory staff understand the current limitations associated with colistin AST? (i.e., the risk of false susceptible results when using disk diffusion, gradient strip, or automated methods.)</t>
  </si>
  <si>
    <t>Le personnel de laboratoire comprend-il les limites actuelles associées au TSA de la colistine? (c'est-à-dire, le risque de résultats faussement sensibles lors de l'utilisation diffusion en disque, bandelette graduées, ou instrument automatisé.)</t>
  </si>
  <si>
    <t>¿Comprende el personal del laboratorio las limitaciones actuales en PSA asociadas con la colistina? (es decir, el riesgo de resultados falsamente sensibles cuando se utiliza difusión con discos, tira de gradiente o Instrumento automatizado.)</t>
  </si>
  <si>
    <t>O pessoal de laboratório compreende as limitações atuais do TSA associados com a colistina? (Ou seja, o risco de resultados falsamente sensíveis ao usar Disco-difusão, tiras de gradiente, ou instrumento automatizado.)</t>
  </si>
  <si>
    <t>Has the lab educated the medical staff about the current limitations and risks associated with colistin AST?</t>
  </si>
  <si>
    <t>Le laboratoire a-t-il informé le personnel médical des limitations et des risques associés au TSA de la colistine?</t>
  </si>
  <si>
    <t>¿Ha entrenado el laboratorio al personal médico sobre cuáles son las limitaciones y los riesgos actuales asociados con la colistina en PSA?</t>
  </si>
  <si>
    <t>O laboratório tem treinado a equipe médica sobre as limitações atuais e riscos associados com a  colistina nos TSA?</t>
  </si>
  <si>
    <t>EXPERT RULES FOR STAPHYLOCOCCUS AUREUS</t>
  </si>
  <si>
    <t>RÈGLES D'EXPERT POUR LE STAPHYLOCOCCUS AUREUS</t>
  </si>
  <si>
    <t>REGLAS DE EXPERTO PARA STAPHYLOCOCCUS AUREUS</t>
  </si>
  <si>
    <t>REGRAS DO ESPECIALISTA PARA STAPHYLOCOCCUS AUREUS</t>
  </si>
  <si>
    <t xml:space="preserve">Does the lab test S. aureus isolates against penicillin? </t>
  </si>
  <si>
    <t>Est-ce que le laboratoire teste lasensibilité à la penicilline des isolats de S. aureus?</t>
  </si>
  <si>
    <t>¿Se prueban en el laboratorio aislados de S. aureus frente a penicilina?</t>
  </si>
  <si>
    <t xml:space="preserve">O laboratório testa os isolados de  S. aureus contra penicilina? </t>
  </si>
  <si>
    <t>If no, answer NA to next question</t>
  </si>
  <si>
    <t>Si non, répondez NA à la question suivante</t>
  </si>
  <si>
    <t>Si no, responda NA a la siguiente pregunta</t>
  </si>
  <si>
    <t>Se não, responder NA a próxima pergunta</t>
  </si>
  <si>
    <t>Are S. aureus isolates with penicillin zones sizes or MICs in the susceptible range tested for β-lactamase production using the zone-edge test before being reported as penicillin susceptible?</t>
  </si>
  <si>
    <t>Les isolats de S. aureus présentant des diamètre d'inhibition de pénicilline ou des CIM situées dans la plage de sensibilité sont-ils testés pour la production de β-lactamase à l'aide du test de limite de zone avant d'être signalés comme sensibles à la pénicilline?</t>
  </si>
  <si>
    <t>¿Se prueban los aislados de S. aureus con halos de inhibición a la penicilina o CMI en el rango sensible para detectar la producción de β-lactamasa usando la prueba de borde del halo antes de ser notificados como sensibles a la penicilina?</t>
  </si>
  <si>
    <t>Os isolados de S. aureus com diâmetros de halos de inibição de penicilina ou de CIMs no intervalo susceptível testados quanto à produção β-lactamase utilizando o teste da borda do halo antes de serem classificados como sensíveis a penicilina?</t>
  </si>
  <si>
    <t>Does the lab use Oxacillin disks to test for MRSA?</t>
  </si>
  <si>
    <t>Le laboratoire utilise-t-il des disques Oxacillin pour tester le SARM?</t>
  </si>
  <si>
    <t>¿Utiliza el laboratorio discos de oxacilina para detectar SARM?</t>
  </si>
  <si>
    <t>O laboratório utiliza discos oxacilina para testar  MRSA?</t>
  </si>
  <si>
    <t xml:space="preserve">When oxacillin and cefoxitin results are discrepant for S. aureus (one is S and one is R), how does the lab report oxacillin? </t>
  </si>
  <si>
    <t>Lorsque les résultats de l'oxacilline et de la céfoxitine sont non-concordants pour S. aureus (l'un est S et l'autre R), comment le laboratoire rapporte-t-il l'oxacilline?</t>
  </si>
  <si>
    <t>Cuando los resultados de oxacilina y cefoxitina son discrepantes para S. aureus (uno es S y otro es R), ¿cómo notifica el laboratorio la oxacilina?</t>
  </si>
  <si>
    <t xml:space="preserve">Quando os resultados de oxacilina e cefoxitina  são discrepantes para S. aureus (um é S e outro é R), como o laboratório reporta a oxacilina? </t>
  </si>
  <si>
    <t>1: Report the oxacillin interpretation, regardless of what the cefoxitin result is - 2: Report the cefoxitin interpretation, regardless of what the oxacillin result is - 3: If either drug tests R, report the result as R - NA: the lab only tests one of these drugs, not both</t>
  </si>
  <si>
    <t>1: Indiquez l’interprétation de l’oxacilline, quel que soit le résultat de la céfoxitine - 2: Indiquez l’interprétation de la céfoxitine, quel que soit le résultat de l’oxacilline - 3: Si l’un ou l’autre des médicaments est testé R, indiquez le résultat sous la forme R - NA: le laboratoire teste uniquement un de ces médicaments, pas les deux</t>
  </si>
  <si>
    <t>1: se notifica la interpretación de oxacilina, independientemente de cuál sea el resultado de cefoxitina - 2: se notifica la interpretación de cefoxitina, independientemente de cuál sea el resultado de oxacilina - 3: Si cualquiera de estos antibióticos sale R, se notifica el resultado como R - NA: el laboratorio solo prueba uno de estos antibióticos, no ambos</t>
  </si>
  <si>
    <t>1: Relata a interpretação da oxacilina, independentemente do resultado da cefoxitina - 2: Relata a interpretação da cefoxitina, independentemente do resultado da oxacilina - 3: Se uma ou outra droga testa R, relatar o resultado como R - NA: O laboratório apenas testa uma destas drogas, não ambas</t>
  </si>
  <si>
    <t>Does the lab perform S. aureus AST on any beta-lactam antibiotics other than penicillin, oxacillin, cefoxitin, or ceftaroline?</t>
  </si>
  <si>
    <t>Le laboratoire effectue-t-il le TSA de S. aureus sur des bêta-lactamines autres que la pénicilline, l’oxacilline, la céfoxitine ou la ceftaroline?</t>
  </si>
  <si>
    <t>¿Realiza el laboratorio PSA en S. aureus con antibióticos betalactámicos que no sean penicilina, oxacilina, cefoxitina o ceftarolina?</t>
  </si>
  <si>
    <t>O laboratório realiza TSA para S. aureus com outros antibióticos beta-lactâmicos  que não seja penicilina, oxacilina, cefoxitina, ou ceftaroline?</t>
  </si>
  <si>
    <t>Does the lab use vancomycin disks to test for VISA/VRSA?</t>
  </si>
  <si>
    <t>Le laboratoire utilise-t-il des disques de vancomycine pour tester la présence de VISA / VRSA?</t>
  </si>
  <si>
    <t>¿Utiliza el laboratorio discos de vancomicina para detectar VISA (Staph aureus con resistencia intermedia a vancomicina) / VRSA (Staph aureus resstente a vancomicina)?</t>
  </si>
  <si>
    <t>O laboratório utiliza discos de vancomicina para detectar VISA / VRSA?</t>
  </si>
  <si>
    <t>When a manual MIC method is used to test vancomycin against Staph aureus, is the test incubated for a full 24 hours before reading the result?</t>
  </si>
  <si>
    <t>Lorsqu'une méthode de CMI manuelle est utilisée pour tester la vancomycine sur Staph aureus, le test est-il incubé pendant 24 heures complètes avant de lire le résultat?</t>
  </si>
  <si>
    <t>Cuando se usa un método manual para medir la CMI de la vancomicina en Staph aureus  ¿se incuba la prueba durante 24 horas antes de leer el resultado?</t>
  </si>
  <si>
    <t>Quando um método manual é usado para testar o MIC da vancomicina no Staph aureus,  o teste é incubado  durante 24 horas antes de ler o resultado?</t>
  </si>
  <si>
    <t>Answer NA if manual MIC method not used</t>
  </si>
  <si>
    <t>Répondre NA si la méthode manuelle de CMI n'est pas utilisée</t>
  </si>
  <si>
    <t>Responda NA si no se utiliza el método manual para medir la CMI</t>
  </si>
  <si>
    <t xml:space="preserve">Responda NA se não se utiliza o método manual para medir o MIC </t>
  </si>
  <si>
    <t>When a vancomycin MIC &gt;8 is detected for S. aureus, is the isolate sent to a referral lab for confirmation testing and further characterization?</t>
  </si>
  <si>
    <t>Lorsqu'une CMI pour la vancomycine&gt; 8 est détectée pour S. aureus, l'isolat est-il envoyé à un laboratoire de référence pour qu'il soit soumis à des tests de confirmation et à une caractérisation plus poussée?</t>
  </si>
  <si>
    <t>Cuando se detecta una vancomicina CMI&gt; 8 para S. aureus, ¿se envía el aislado a un laboratorio de referencia para pruebas adicionales de confirmación y caracterización?</t>
  </si>
  <si>
    <t>Quando se detecta uma  vancomicina CIM&gt; 8 para S. aureus, o isolado é enviado para um laboratório de referência para  testes adicionais de confirmação e caracterização?</t>
  </si>
  <si>
    <t xml:space="preserve">Answer NA if vancomycin not tested </t>
  </si>
  <si>
    <t>Répondre NA si la vancomycine n'est pas testée</t>
  </si>
  <si>
    <t>Responda NA si la vancomicina no se prueba</t>
  </si>
  <si>
    <t xml:space="preserve">Responda NA se a vancomicina não é testada </t>
  </si>
  <si>
    <t>Are S. aureus that are resistant to Erythromycin and susceptible or intermediate to Clindamycin tested for inducible clindamycin resistance?</t>
  </si>
  <si>
    <t>S. aureus résistant à l'érythromycine et sensible ou intermédiaire à la clindamycine est-il testé pour sa résistance inductible à la clindamycine?</t>
  </si>
  <si>
    <t>¿A los estafilococos aureus resistentes a la eritromicina y susceptibles o intermedios a la clindamicina se le hacen pruebas de detección de resistencia inducible a clindamicina?</t>
  </si>
  <si>
    <t>Os S. aureus que são resistentes à Eritromicina e sensíveis ou intermediários à clindamicina são testados para a resistência induzível à clindamicina?</t>
  </si>
  <si>
    <t>GENERAL CONSIDERATIONS FOR STREPTOCOCCUS PNEUMONIAE</t>
  </si>
  <si>
    <t>CONSIDÉRATIONS GÉNÉRALES CONCERNANT STREPTOCOQUE PNEUMONIAE</t>
  </si>
  <si>
    <t>CONSIDERACIONES GENERALES PARA STREPTOCOCCUS PNEUMONIAE</t>
  </si>
  <si>
    <t>CONSIDERAÇÕES GERAIS PARA STREPTOCOCCUS PNEUMONIAE</t>
  </si>
  <si>
    <t>If lab does not perform disk or Etest for S. pneumoniae AST, select N/A for all answers</t>
  </si>
  <si>
    <t>Si le laboratoire n'effectue pas de TSA en disque ou d'Etest pour S. pneumoniae, sélectionnez N / A pour toutes les réponses</t>
  </si>
  <si>
    <t>Si el laboratorio no realiza el disco o Etest para S. pneumoniae, seleccione N / A para todas las respuestas</t>
  </si>
  <si>
    <t>Se laboratório não realiza TSA com disco ou Etest para S. pneumoniae, selecione N/A para todas as respostas</t>
  </si>
  <si>
    <t>Observe a S. pneumoniae AST plate being read</t>
  </si>
  <si>
    <t>Observez une boîte de TSA de S. pneumoniae  en cours de lecture</t>
  </si>
  <si>
    <t>Observar la lectura de una placa de S. pneumoniae para PSA</t>
  </si>
  <si>
    <t xml:space="preserve">Observar a leitura de uma placa de TSA para S. pneumoniae </t>
  </si>
  <si>
    <t>Is the upper surface of the agar read with the cover removed?</t>
  </si>
  <si>
    <t>La surface de la gélose est-elle lue avec le couvercle retiré?</t>
  </si>
  <si>
    <t>¿Se lee la superficie superior del agar con la cubierta quitada?</t>
  </si>
  <si>
    <t>A superfície superior do ágar é lida com a tampa removida?</t>
  </si>
  <si>
    <t>La boîte est-elle bien éclairée par la lumière réfléchie?</t>
  </si>
  <si>
    <t>A placa está iluminada de forma adequada com a luz refletida?</t>
  </si>
  <si>
    <t>Are zones measured where growth is inhibited (as opposed to the zone of hemolysis)?</t>
  </si>
  <si>
    <t>Les zones où la croissance est inhibée sont-elles mesurées (et non la zone d'hémolyse)?</t>
  </si>
  <si>
    <t>¿Se miden los halos donde se inhibe el crecimiento (en oposición a la zona de hemólisis)?</t>
  </si>
  <si>
    <t>Os halos são medidos onde o crescimento é inibido (em oposição à zona de hemólise)?</t>
  </si>
  <si>
    <t>Are there no more than 4 disks per 100mm plate or 9 disks per 150mm plate?</t>
  </si>
  <si>
    <t>Y a t il au maximum 4 disques par boîte de 100 mm ou 9 disques par boîte de 150 mm?</t>
  </si>
  <si>
    <t>¿No hay más de 4 discos por placa de 100 mm o 9 discos por placa de 150 mm?</t>
  </si>
  <si>
    <t>Existe até 4 discos por placa de 100 milímetros ou 9 discos por placa de 150 mm?</t>
  </si>
  <si>
    <t>If the lab uses an oxacillin disk (1ug) to screen for penicillin resistance in Strep. pneumoniae, what does the lab’s SOP instruct when the zone size measures &lt;19? (Referring to penicillin G or Benzylpenicillin, the IV formulation)</t>
  </si>
  <si>
    <t>Si le laboratoire utilise un disque d'oxacilline (1ug) pour dépister la résistance à la pénicilline de Strep. pneumoniae, que recommande la POS du laboratoire lorsque le dimaètre d'inhibition est &lt;19? (Par rapport à la pénicilline G ou à la benzylpénicilline, en formulation IV)</t>
  </si>
  <si>
    <t>Si el laboratorio utiliza un disco de oxacilina (1ug) para detectar la resistencia a la penicilina en Strep. pneumoniae, ¿qué instrucciones da el POE del laboratorio cuando el diámetro del halo de inhibición mide &lt;19? (Refiriéndose a la penicilina G o bencilpenicilina, la formulación IV)</t>
  </si>
  <si>
    <t>Se o laboratório utiliza um disco de oxacilina (1 ug) para triagem de resistência à penicilina em Strep. pneumoniae, quais os instruções do POP do laboratório quando o diâmetro do halo mede &lt;19? (Referindo-se penicilina G ou benzilpenicilina, a formulação IV)</t>
  </si>
  <si>
    <t>1: Report penicillin resistant - 2: Perform additional testing using a penicillin MIC method - NA: lab does not perform oxacillin screen</t>
  </si>
  <si>
    <t>1: Signaler une résistance à la pénicilline - 2: Effectuer des tests supplémentaires à l'aide d'une méthode CMI pénicilline - NA: le laboratoire ne réalise pas de dépistage de l'oxacilline</t>
  </si>
  <si>
    <t>1: se notifica resistencia a la penicilina - 2: se realizan pruebas adicionales utilizando un método para medir la CMI de penicilina - NA: el laboratorio no realiza la detección de oxacilina</t>
  </si>
  <si>
    <t>1: Relata resistente a penicilina - 2: Realiza testes adicionais usando um método CIM para penicilina - NA: laboratório não realiza teste de oxacilina</t>
  </si>
  <si>
    <t>EXPERT RULES FOR STREPTOCOCCUS PNEUMONIAE</t>
  </si>
  <si>
    <t>RÈGLES D'EXPERT POUR STREPTOCOCCUS PNEUMONIAE</t>
  </si>
  <si>
    <t>REGLAS DE EXPERTO PARA STREPTOCOCCUS PNEUMONIAE</t>
  </si>
  <si>
    <t>REGRAS DO ESPECIALISTA PARA STREPTOCOCCUS PNEUMONIAE</t>
  </si>
  <si>
    <t>Does the lab perform AST for S.pneumoniae? (Not scored. If No, skip to next section.)</t>
  </si>
  <si>
    <t>Le laboratoire effectue-t-il des TSA pour S. pneumoniae? (Non noté. Si non, passez à la section suivante.)</t>
  </si>
  <si>
    <t>¿Realiza el laboratorio PSA en S.pneumoniae? (No puntuado. En caso negativo, pase a la siguiente sección).</t>
  </si>
  <si>
    <t>O laboratório realiza TSA para S. pneumoniae? (Não pontua. Se não, pule para a próxima seção).</t>
  </si>
  <si>
    <t>Does the lab use the disk diffusion method to test any of the following antibiotics against S.pneumo?</t>
  </si>
  <si>
    <t>Le laboratoire utilise-t-il la méthode de diffusion en disque pour tester l'un des antibiotiques suivants sur S.pneumo?</t>
  </si>
  <si>
    <t>¿Utiliza el laboratorio la técnica de difusión con discos para probar alguno de los siguientes antibióticos en S.pneumo?</t>
  </si>
  <si>
    <t>O laboratório utiliza o método de disco-difusão para testar qualquer um dos seguintes antibióticos contra S.pneumo?</t>
  </si>
  <si>
    <t>Penicillin</t>
  </si>
  <si>
    <t>Pénicilline</t>
  </si>
  <si>
    <t>Penicilina</t>
  </si>
  <si>
    <t>Amoxicillin</t>
  </si>
  <si>
    <t>Amoxicilline</t>
  </si>
  <si>
    <t>Amoxicilina</t>
  </si>
  <si>
    <t>Ampicillin</t>
  </si>
  <si>
    <t>Ampicilline</t>
  </si>
  <si>
    <t>Ampicilina</t>
  </si>
  <si>
    <t>Cefotaxime</t>
  </si>
  <si>
    <t>Céfotaxime</t>
  </si>
  <si>
    <t>Cefotaxima</t>
  </si>
  <si>
    <t>Ceftriaxone</t>
  </si>
  <si>
    <t>Ceftriaxona</t>
  </si>
  <si>
    <t>Cefuroxime</t>
  </si>
  <si>
    <t>Céfuroxime</t>
  </si>
  <si>
    <t>Cefuroxima</t>
  </si>
  <si>
    <t>Cefepime</t>
  </si>
  <si>
    <t>Cefepima</t>
  </si>
  <si>
    <t>Ertapenem</t>
  </si>
  <si>
    <t>Ertapeneme</t>
  </si>
  <si>
    <t>Meropenem</t>
  </si>
  <si>
    <t>Méropéneme</t>
  </si>
  <si>
    <t>Imipenem</t>
  </si>
  <si>
    <t>Imipeneme</t>
  </si>
  <si>
    <t>When S. pneumoniae is isolated from blood or cerebrospinal fluid, does the lab test the following antibiotics using an MIC method?</t>
  </si>
  <si>
    <t>Lorsque S. pneumoniae est isolé depuis du sang ou du liquide céphalorachidien, le laboratoire teste-t-il les antibiotiques suivants en utilisant une méthode de CMI?</t>
  </si>
  <si>
    <t>Cuando se aísla S. pneumoniae de sangre o líquido cefalorraquídeo, ¿prueba el laboratorio los siguientes antibióticos utilizando un método de CMI?</t>
  </si>
  <si>
    <t>Quando S. pneumoniae é isolado a partir de sangue ou líquido cefalorradiano, o laboratório testa os seguintes antibióticos usando um método de MIC?</t>
  </si>
  <si>
    <t>Ceftriaxone and/or Cefotaxime</t>
  </si>
  <si>
    <t>Ceftriaxone et / ou Cefotaxime</t>
  </si>
  <si>
    <t>Ceftriaxona y / o Cefotaxima</t>
  </si>
  <si>
    <t>Ceftriaxona e/ou Cefotaxima</t>
  </si>
  <si>
    <t xml:space="preserve">When S. pneumoniae is isolated from CSF, are penicillin, ceftriaxone, and/or cefotaxime reported using the meningitis breakpoints only? </t>
  </si>
  <si>
    <t>Lorsque S. pneumoniae est isolé dans du LCR, la pénicilline, la ceftriaxone et / ou le céfotaxime sont-ils signalés sur le compte rendu en utilisant uniquement les seuils pour la méningite?</t>
  </si>
  <si>
    <t>Cuando S. pneumoniae se aísla del LCR, ¿se notifican la penicilina, la ceftriaxona y / o la cefotaxima utilizando únicamente los puntos de corte de la meningitis?</t>
  </si>
  <si>
    <t xml:space="preserve">Quando o S. pneumoniae é isolado a partir de LCR,  a penicilina, ceftriaxona e / ou cefotaxima são relatadas usando apenas os pontos de corte de meningite? </t>
  </si>
  <si>
    <t xml:space="preserve">When S. pneumoniae is isolated from specimens other than CSF, are penicillin, ceftriaxone, and/or cefotaxime reported using both meningitis and non-meningitis breakpoints? </t>
  </si>
  <si>
    <t>Lorsque S. pneumoniae est isolé à partir d'échantillons autres que le LCR, les pénicillines, la ceftriaxone et / ou le céfotaxime sont-ils signalés en utilisant à la fois les seuils des méningites et des infections non méningiques?</t>
  </si>
  <si>
    <t>Cuando se aisla S. pneumoniae de muestras que no sean LCRs, ¿se notifican la penicilina, la ceftriaxona y / o la cefotaxima usando puntos de corte tanto de meningitis como de no meningitis?</t>
  </si>
  <si>
    <t xml:space="preserve">Quando S. pneumoniae é isolado a partir de outros espécimes que não seja LCR, a penicilina, ceftriaxona, e / ou cefotaxima são relatadas usando pontos de corte tanto de meningite como não-meningite? </t>
  </si>
  <si>
    <t>Are S. pneumoniae that are resistant to Erythromycin and susceptible or intermediate to Clindamycin tested for inducible clindamycin resistance?</t>
  </si>
  <si>
    <t>Une souche de S. pneumoniae résistante à l'érythromycine et sensible ou intermédiaire à la clindamycine est-elle testée pour sa résistance inductible à la clindamycine?</t>
  </si>
  <si>
    <t>¿Se les hace a las S. pneumoniae que son resistentes a la eritromicina y susceptibles o intermedias a la clindamicina las pruebas de resistencia inducible a clindamicina?</t>
  </si>
  <si>
    <t>Os S. pneumoniae que são resistentes à eritromicina e sensíveis ou intermediários à clindamicina são testados para a resistência induzível à clindamicina?</t>
  </si>
  <si>
    <t>PRUEBA DE RESISTENCIA INDUCIBLE A CLINDAMICINA</t>
  </si>
  <si>
    <t xml:space="preserve">PROVA DE RESISTÊNCIA INDUZÍVEL A CLINDAMICINA </t>
  </si>
  <si>
    <t xml:space="preserve">Does the lab perform the test for Inducible Clindamycin Resistance (ICR), also known as the “D-test” on Staphylococcus aureus and/or Streptococcus pneumoniae? </t>
  </si>
  <si>
    <t>Le laboratoire effectue-t-il le test de résistance inductible à la clindamycine (RIC), également appelé «test D» sur Staphylococcus aureus et / ou Streptococcus pneumoniae?</t>
  </si>
  <si>
    <t>¿Realiza el laboratorio la prueba de resistencia inducible a clindamicina (ICR, por sus siglas en inglés), también conocida como “D-test” en Staphylococcus aureus y / o Streptococcus pneumoniae?</t>
  </si>
  <si>
    <t xml:space="preserve">O laboratório realiza a prova de resistência induzível a clindamicina  (ICR), também conhecido como o “D-teste” em  Staphylococcus aureus e/ ou Streptococcus pneumoniae? </t>
  </si>
  <si>
    <t>Does the SOP for the ICR test specify that the erythromycin and clindamycin disks must be placed 15-26 mm apart for Staphylococcus species?</t>
  </si>
  <si>
    <t>La POS décrivant le test de RIC spécifie-t-elle que les disques d'érythromycine et de clindamycine doivent être espacés de 15 à 26 mm pour les souches de staphylocoques?</t>
  </si>
  <si>
    <t>¿Se especifica en el POE del D-test que los discos de eritromicina y clindamicina deben colocarse a una distancia de 15-26 mm para las especies de estafilococos?</t>
  </si>
  <si>
    <t>O POP para o teste D-teste especifica que os discos de eritromicina e clindamicina devem ser colocadas em uma distância de 15-26 mm para as espécies de Staphylococcus?</t>
  </si>
  <si>
    <t>Does the SOP for the ICR test specify that the erythromycin and clindamycin disks must be placed 12 mm apart for Streptococcus species?</t>
  </si>
  <si>
    <t>la POS pour le test de RIC spécifie-t-elle que les disques d'érythromycine et de clindamycine doivent être placés à 12 mm de distance pour les espèces de streptocoques?</t>
  </si>
  <si>
    <t>¿Se especifica en el POE del D-test que los discos de eritromicina y clindamicina se deben colocar a 12 mm de distancia para las especies de estreptococos?</t>
  </si>
  <si>
    <t>O POP para o teste D-teste especifica que os discos de eritromicina e clindamicina devem ser colocadas em uma distância de 12 mm para as espécies de Streptococcus?</t>
  </si>
  <si>
    <t>Do records indicate that quality control for ICR testing is done either on a weekly basis or each time the test is performed?</t>
  </si>
  <si>
    <t>Les enregistrements indiquent-ils que le contrôle de la qualité des tests de RIC est effectué toutes les semaines ou à chaque fois que le test est effectué?</t>
  </si>
  <si>
    <t>¿Indican los registros si el CC del D-test se realiza semanalmente o cada vez que se realiza la prueba?</t>
  </si>
  <si>
    <t>Os registros indicam que o controle de qualidade para testes D-teste é feito em uma base semanal ou cada vez que o teste é realizado?</t>
  </si>
  <si>
    <t>Do records indicate that lab uses both positive and negative control organisms to QC the ICR test in use? (Commonly used ICR positive strain is S. aureus ATCC BAA-977)</t>
  </si>
  <si>
    <t>Les enregistrements indiquent-ils que le laboratoire utilise des organismes de contrôle positifs et négatifs pour le contrôle qualité du test de RIC utilisé? (La souche positive RIC couramment utilisée est S. aureus ATCC BAA-977)</t>
  </si>
  <si>
    <t>¿Indican los registros si el laboratorio utiliza organismos de control positivo y negativo para el control del D-test en uso? (La cepa positiva más utilizada en el D-test es S. aureus ATCC BAA-977)</t>
  </si>
  <si>
    <t>Os registros indicam que laboratório usa ambos os organismos de controle positivo e negativo para CQ do teste D-teste em uso? (A cepa positiva mais utilizada para o D-Teste é S. aureus ATCC BAA-977)</t>
  </si>
  <si>
    <t xml:space="preserve">When the ICR test is positive, is the clindamycin result changed to resistant? </t>
  </si>
  <si>
    <t>Lorsque le test de RIC est positif, le résultat de la clindamycine est-il modifié de sensible à résistant?</t>
  </si>
  <si>
    <t>Cuando el D-test es positivo, ¿se cambia el resultado de clindamicina a resistente?</t>
  </si>
  <si>
    <t xml:space="preserve">Quando o D-Teste  é positivo, o resultado de clindamicina é alterado para resistente? </t>
  </si>
  <si>
    <t>EXPERT RULES FOR CEREBROSPINAL FLUID (CSF)</t>
  </si>
  <si>
    <t>RÈGLES D'EXPERT POUR LES LIQUIDES CEPHALORACHIDIENS (LCR)</t>
  </si>
  <si>
    <t>REGLAS DE EXPERTO PARA EL LÍQUIDO CEFALORRAQUÍDEO (LCR)</t>
  </si>
  <si>
    <t>REGRAS DO ESPECIALISTA PARA O LÍQUIDO CEFALORRAQUIDIANO (LCR)</t>
  </si>
  <si>
    <t xml:space="preserve">Review a patient AST report for a positive CSF culture. Were any of the following drug classes tested or reported? </t>
  </si>
  <si>
    <t>Examinez le rapport de TSA d'un patient pour une culture de LCR positive. L'une des classes de médicaments suivantes at-elle été testée ou rapportée?</t>
  </si>
  <si>
    <t>Revise un informe de PSA  para una cultivo de LCR positivo de una muestra de paciente ¿Alguna de las siguientes clases de antibióticos fue probado o notificado?</t>
  </si>
  <si>
    <t>Revise um resultado de TSA de paciente com uma cultura de LCR positiva. Algumas das seguintes classes de antibióticos foram testadas ou relatadas?</t>
  </si>
  <si>
    <t>(The following are not the drugs of choice and may not be effective for treating CSF infections, regardless of the AST result)</t>
  </si>
  <si>
    <t>(Les médicaments suivants ne sont pas des médicaments de première intention et peuvent ne pas être efficaces pour traiter les infections du LCR, quel que soit le résultat du TSA)</t>
  </si>
  <si>
    <t>(Los siguientes no son los antibióticos de elección y pueden no ser efectivos para tratar infecciones en el LCR, independientemente del resultado de la PSA)</t>
  </si>
  <si>
    <t>(Os seguintes não são antibióticos de escolha e podem não ser eficazes  para o tratamento de infecções de LCR, independentemente do resultado do TSA)</t>
  </si>
  <si>
    <t>Cefalosporinas de 1ª geração (cefazolina, cefalotina, cefapirina, cefadrina)</t>
  </si>
  <si>
    <t>Cefalosporinas de 2ª geração(cefuroxima, cefonicida, cefamandol)</t>
  </si>
  <si>
    <t>Clindamycin</t>
  </si>
  <si>
    <t>Clindamycine</t>
  </si>
  <si>
    <t>Clindamicina</t>
  </si>
  <si>
    <t>Macrolides (Erythromycin, Azithromycin, Clarithromycin)</t>
  </si>
  <si>
    <t>Macrolides (érythromycine, azithromycine, clarithromycine)</t>
  </si>
  <si>
    <t>Macrólidos (eritromicina, azitromicina, claritromicina)</t>
  </si>
  <si>
    <t>Macrolídeos (eritromicina, azitromicina, claritromicina)</t>
  </si>
  <si>
    <t>Tetracyclines (Tetracycline, Minocycline, Doxycycline)</t>
  </si>
  <si>
    <t>Tétracyclines (Tétracycline, Minocycline, Doxycycline)</t>
  </si>
  <si>
    <t>Tetraciclinas (tetraciclina, minociclina, doxiciclina)</t>
  </si>
  <si>
    <t>Fluoroquinolones (Ciprofloxacin, Levofloxacin, Moxifloxacin)</t>
  </si>
  <si>
    <t>Fluoroquinolones (Ciprofloxacine, Lévofloxacine, Moxifloxacine)</t>
  </si>
  <si>
    <t>Fluoroquinolonas (Ciprofloxacina, Levofloxacina, Moxifloxacina)</t>
  </si>
  <si>
    <t>Fluoroquinolonas (ciprofloxacina, levofloxacina, Moxifloxacina)</t>
  </si>
  <si>
    <t>Nitrofurantoin</t>
  </si>
  <si>
    <t>Nitrofurantoïne</t>
  </si>
  <si>
    <t>Nitrofurantoína</t>
  </si>
  <si>
    <t>13- AST PANELS, POLICY &amp; ANALYSIS</t>
  </si>
  <si>
    <t>13- POLITIQUE, ANALYSE ET PANELS DE TSA</t>
  </si>
  <si>
    <t>13- POLÍTICAS E ANÁLISES DE PAINÉIS DE TSA</t>
  </si>
  <si>
    <t>Atenção: todas as perguntas se referem apenas a isolados clínicos de pacientes, NÃO a isolados de pesquisa  ou  ambientais</t>
  </si>
  <si>
    <t>Is there an SOP that clearly defines the standard combination of antibiotics ("antibiotic panels") the lab will test against each of the following pathogens? (CLSI and EUCAST documents are not SOPs)</t>
  </si>
  <si>
    <t>Existe-t-il une POS définissant clairement la combinaison standard d'antibiotiques ("panels d'antibiotiques") que le laboratoire testera pour chacun des agents pathogènes suivants? (Les documents CLSI et EUCAST ne sont pas des POS)</t>
  </si>
  <si>
    <t>¿Hay un POE que defina claramente la combinación estándar de antibióticos ("paneles de antibióticos") que el laboratorio probará en cada uno de los siguientes patógenos? (Los documentos CLSI y EUCAST no son POEs)</t>
  </si>
  <si>
    <t>Existe um POP que defina claramente a combinação padrão de antibióticos ( "painéis antibióticos") que laboratório vai testar contra cada um dos seguintes agentes patogénicos? (CLSI e EUCAST documentos não são POPs)</t>
  </si>
  <si>
    <t>Staphylococcus aureus</t>
  </si>
  <si>
    <t>Enterococcus spp</t>
  </si>
  <si>
    <t>Enterococcus spp.</t>
  </si>
  <si>
    <t>Streptococcus pneumoniae</t>
  </si>
  <si>
    <t>Enterobacteriaceae</t>
  </si>
  <si>
    <t>Salmonella spp</t>
  </si>
  <si>
    <t>Acinetobacter spp</t>
  </si>
  <si>
    <t>Acinetobacter spp.</t>
  </si>
  <si>
    <t>Pseudomonas aeruginosa</t>
  </si>
  <si>
    <t>Review several patient AST reports for E. coli. Is the same combination of antibiotics tested each time?</t>
  </si>
  <si>
    <t>Passez en revue plusieurs rapports de TSA de patients pour E. coli. La même combinaison d'antibiotiques est-elle testée à chaque fois?</t>
  </si>
  <si>
    <t>Revise varios informes de PSA  para E. coli. de muestras de pacientes ¿Se prueba cada vez la misma combinación de antibióticos?</t>
  </si>
  <si>
    <t>Revise vários resultados de TSA para E.coli em amostra de pacientes. É a mesma combinação de antibióticos testados a cada vez?</t>
  </si>
  <si>
    <r>
      <t xml:space="preserve">Does the SOP clearly define how to modify the standard antibiotic panels described above based upon the body site of infection? </t>
    </r>
    <r>
      <rPr>
        <sz val="10"/>
        <color rgb="FFFF0000"/>
        <rFont val="Calibri"/>
        <family val="2"/>
        <scheme val="minor"/>
      </rPr>
      <t>ONLY select NA if the laboratory does not perform testing on the body site listed.</t>
    </r>
  </si>
  <si>
    <t>La SOP définit-elle clairement comment modifier les panels d'antibiotiques standard décrits ci-dessus en fonction de la localisation anatomique de l'infection? Sélectionnez UNIQUEMENT NA si le laboratoire n'effectue pas de test sur le type de prélèvement indiqué.</t>
  </si>
  <si>
    <t>¿Define el POE claramente cómo modificar los paneles de antibióticos estándar descritos anteriormente en función del sitio del cuerpo en el que tenga lugar la infección? 
Seleccione SOLO NA si el laboratorio no realiza pruebas en el sitio del cuerpo que figura en la lista.</t>
  </si>
  <si>
    <t>O POP define claramente como modificar os painéis padronizados de antibióticos  descritos acima com base no local que esteja a infecção? 
SOMENTE selecione NA se o laboratório não realizar testes o local  de infecção  listada.</t>
  </si>
  <si>
    <t>Urine</t>
  </si>
  <si>
    <t>Orina</t>
  </si>
  <si>
    <t>Urina</t>
  </si>
  <si>
    <t>CSF</t>
  </si>
  <si>
    <t>LCR</t>
  </si>
  <si>
    <t>Blood</t>
  </si>
  <si>
    <t>Sang</t>
  </si>
  <si>
    <t>Sangre</t>
  </si>
  <si>
    <t>Sangue</t>
  </si>
  <si>
    <t>RELATÓRIO ACUMULADO DE ANTIBIOGRAMA</t>
  </si>
  <si>
    <t>Does the lab produce a cumulative antibiogram at least annually?</t>
  </si>
  <si>
    <t>Le laboratoire produit-il un antibiogramme cumulatif au moins une fois par an?</t>
  </si>
  <si>
    <t>¿El laboratorio produce un informe acumulado de antibiograma al menos anualmente?</t>
  </si>
  <si>
    <t>O laboratório produz um relatório acumulado de antibiograma pelo menos anualmente?</t>
  </si>
  <si>
    <t>If No, answer the following questions "NA"</t>
  </si>
  <si>
    <t>Si non, répondez aux questions suivantes "NA"</t>
  </si>
  <si>
    <t>En caso negativo, responda las siguientes preguntas "NA"</t>
  </si>
  <si>
    <t>Se não, responda às seguintes perguntas "NA"</t>
  </si>
  <si>
    <t>Does the lab have a software program to produce the antibiogram?</t>
  </si>
  <si>
    <t>Le laboratoire dispose-t-il d'un logiciel permettant de produire un antibiogramme?</t>
  </si>
  <si>
    <t>¿Tiene el laboratorio un programa de software para producir el antibiograma?</t>
  </si>
  <si>
    <t>O laboratório tem um programa de software para produzir o antibiograma?</t>
  </si>
  <si>
    <t>Review the most recent cumulative antibiogram. Does it adhere to the following CLSI M39 recommendations?</t>
  </si>
  <si>
    <t>Passez en revue l'antibiogramme cumulatif le plus récent. Est-il conforme aux recommandations suivantes du CLSI M39?</t>
  </si>
  <si>
    <t>Revise el informe acumulado de antibiograma más reciente. ¿Cumple con las siguientes recomendaciones CLSI M39?</t>
  </si>
  <si>
    <t>Revise o antibiograma cumulativo mais recente. O mesmo cumpre as recomendações do CLSI M39?</t>
  </si>
  <si>
    <t>Clearly displays the inclusive date range (e.g. Jan 1, YYYY – Dec 31, YYYY)</t>
  </si>
  <si>
    <t>Affiche clairement les dates d'inclusion(par exemple 1er janvier, AAAA - 31 décembre, AAAA)</t>
  </si>
  <si>
    <t>Muestra claramente el intervalo de fechas (por ejemplo, 1 de enero, AAAA - 31 de diciembre, AAAA)</t>
  </si>
  <si>
    <t>Exibe claramente o intervalo de datas (por exemplo, 01 de Janeiro, A - 31 Dezembro,)</t>
  </si>
  <si>
    <t xml:space="preserve">Clearly displays the name of the hospital/facility </t>
  </si>
  <si>
    <t>Affiche clairement le nom de l'hôpital / établissement</t>
  </si>
  <si>
    <t>Muestra claramente el nombre del hospital / centro</t>
  </si>
  <si>
    <t xml:space="preserve">Exibe claramente o nome do hospital/centro </t>
  </si>
  <si>
    <t>Data is presented as %S (not %R)</t>
  </si>
  <si>
    <t>Les données sont présentées sous forme de %  de S (et non pas de %  de R)</t>
  </si>
  <si>
    <t>Los datos se presentan como % S (no % R)</t>
  </si>
  <si>
    <t>Os dados são apresentados como % de S (não% R)</t>
  </si>
  <si>
    <t>For each organism, the total N tested is displayed</t>
  </si>
  <si>
    <t>Pour chaque organisme, le total N testé est affiché</t>
  </si>
  <si>
    <t>Para cada organismo, se muestra el N total probado</t>
  </si>
  <si>
    <t>Para cada organismo, o N total testado é exibido</t>
  </si>
  <si>
    <t>Only presents data for organisms/antibiotics where the total N = 30 or more isolates</t>
  </si>
  <si>
    <t>Présente des données uniquement pour les organismes / antibiotiquespour lesquels N = 30 isolats ou plus</t>
  </si>
  <si>
    <t>Solo presenta datos para organismos / antibióticos donde el N total de aislados sea igual o superior a 30</t>
  </si>
  <si>
    <t>Apenas apresenta dados para organismos / antibióticos onde o total de N = 30 ou mais isolados</t>
  </si>
  <si>
    <t>Are isolates from environmental cultures and screening cultures (e.g., MRSA screen, VRE screen) excluded from the analysis?</t>
  </si>
  <si>
    <t>Les isolats provenant de cultures environnementales et de cultures de dépistage (par exemple, dépistage du SARM, dépistage des ERV) sont-ils exclus de l'analyse?</t>
  </si>
  <si>
    <t>¿Se excluyen del análisis los aislados de cultivos ambientales y cultivos de cribado (Ej., Cribado SARM, cribado ERV)?</t>
  </si>
  <si>
    <t>Os isolados a partir de culturas ambientais e culturas de triagem (ex,, pesquisa de MRSA, pesquisa de VRE ) estão excluídos da análise?</t>
  </si>
  <si>
    <t>Is the lab able to de-duplicate the data, so that only the first isolate of a given species per patient, per analysis period is included, irrespective of the body site of recovery?</t>
  </si>
  <si>
    <t>Le laboratoire est-il en mesure de dissocier les données, de sorte que seul le premier isolat d'une espèce donnée par patient et par période d'analyse soit inclus, quel que soit l'origine anatomique du prélèvementt?</t>
  </si>
  <si>
    <t>¿Puede el laboratorio eliminar datos de aislados duplicados, de modo que solo se incluya un único aislado por paciente (el primero), de una especie dada, por período de análisis, independientemente del sitio del cuerpo del que se haya obtenido?</t>
  </si>
  <si>
    <t>O laboratório é capaz de eliminar dados duplicados de isolados, de modo que apenas o primeiro isolado de uma dada espécie por paciente, por período de análise é incluído, independentemente do local do corpo de onde foi coletado?</t>
  </si>
  <si>
    <t>Is the lab able to separate inpatient data from outpatient data?</t>
  </si>
  <si>
    <t>Le laboratoire peut-il séparer les données des patients hospitalisés des données des patients externes?</t>
  </si>
  <si>
    <t>¿Puede separar el laboratorio los datos de pacientes ingresados de los datos de pacientes no ingresados?</t>
  </si>
  <si>
    <t>O laboratório é capaz de separar os dados de pacientes internados dos dados de pacientes ambulatoriais?</t>
  </si>
  <si>
    <t>If the lab serves multiple hospitals/facilities, are they able to separate the data by Facility?</t>
  </si>
  <si>
    <t>Si le laboratoire reçoit des échantillons de plusieurs hôpitaux / installations, est-il possible de séparer les données par établissement de soin?</t>
  </si>
  <si>
    <t>Si el laboratorio atiende a varios hospitales / centros, ¿puede separar los datos por Centro?</t>
  </si>
  <si>
    <t>Se o laboratório atende a vários hospitais/instalações, eles são capazes de separar os dados por Instalação?</t>
  </si>
  <si>
    <t>Is the cumulative antibiogram reviewed annually by either an Antibiotic Stewardship or a Pharmacy &amp; Therapeutics Committee?</t>
  </si>
  <si>
    <t>L’antibiogramme cumulatif est-il revu annuellement par un comité de gestion des antibiotiques ou un comité pharmaceutique / thérapeutique?</t>
  </si>
  <si>
    <t>¿Se revisa el informe acumulado de antibiograma anualmente por un Comité de Antibióticos o por un Comité de Farmacia?</t>
  </si>
  <si>
    <t>O antibiograma cumulativo é revisto anualmente por um Comité de Manejo de Antibióticos (Stewardship)  ou por uma Comissão de Farmácia e Terapêutica?</t>
  </si>
  <si>
    <t>Is the cumulative antibiogram distributed to all physicians?</t>
  </si>
  <si>
    <t>L'antibiogramme cumulatif est-il distribué à tous les médecins?</t>
  </si>
  <si>
    <t>¿Se distribuye el informe acumulado de antibiograma a todos los médicos?</t>
  </si>
  <si>
    <t>O antibiograma acumulado é distribuído a todos os médicos?</t>
  </si>
  <si>
    <t>AST POLICY</t>
  </si>
  <si>
    <t>POLITIQUE DUTSA</t>
  </si>
  <si>
    <t>POLÍTICA DE PSA</t>
  </si>
  <si>
    <t>POLÍTICA DE TSA</t>
  </si>
  <si>
    <t>Does lab policy primarily determine which isolates receive AST, or is AST performed only when it is specifically requested by the doctor?</t>
  </si>
  <si>
    <t>La politique du laboratoire détermine-t-elle majoritairement sur quels isolats un TSA doit être effectué ou le TSA est-il effectué uniquement à la demande expresse du médecin?</t>
  </si>
  <si>
    <t>¿Es la política del laboratorio la que principalmente determina a qué aislamientos se les hacen PSA, o solo se realizan PSA cuando el médico lo solicita específicamente?</t>
  </si>
  <si>
    <t>A política do laboratório determina principalmente quais os isolados que se deve  fazer TSA, ou o TSA somente é realizado quando for especificamente solicitado pelo médico?</t>
  </si>
  <si>
    <t>1: Lab policy primarily determines - 2: Only when requested by clinician - 3: Equal mix of both</t>
  </si>
  <si>
    <t>1: La politique du laboratoire détermine majoritairement sur quels isolats effectuer des TSA - 2: Les TSA sont effectués seulement à la demande du clinicien - 3: L'un et l'autre à parts égales</t>
  </si>
  <si>
    <t>1: es la política de laboratorio la que lo determina principalmente - 2: solo cuando lo solicite el médico - 3: combinación equitativa de ambos</t>
  </si>
  <si>
    <t>1: A política do laboratório determina principalmente - 2: Apenas quando solicitado pelo médico - 3: Combinação igual de ambos</t>
  </si>
  <si>
    <t>Does lab policy primarily determine which antibiotics to test and report, or does the lab only test and report the antibiotics specifically requested by the physician?</t>
  </si>
  <si>
    <t>La politique du laboratoire détermine-t-elle majoritairement quels antibiotiques doivent être testés et rapportés au clinicien ou le laboratoire ne teste et rapporte que les antibiotiques spécifiquement demandés par le médecin?</t>
  </si>
  <si>
    <t>¿Es la política del laboratorio la que principalmente determina qué antibióticos probar y notificar, o el laboratorio solo prueba y notifica los antibióticos específicos que solicita el médico?</t>
  </si>
  <si>
    <t>A política do laboratório determina principalmente quais antibióticos se deve testar e notificar, ou o laboratório  somente testa e notifica os antibióticos específicos  solicitados pelo médico?</t>
  </si>
  <si>
    <t>1: Lab policy primarily determines - 2: Only the antibiotics requested by physician - 3: Equal mix of both</t>
  </si>
  <si>
    <t>1: La politique du laboratoire détermine les antibiotiques à tester - 2: Seuls les antibiotiques demandés par le médecin sont testés - 3: L'un et l'autre à parts égales</t>
  </si>
  <si>
    <t>1: es la política del laboratorio la que lo determina principalmente - 2: solo los antibióticos solicitados por el médico - 3: mezcla equitativa de ambos</t>
  </si>
  <si>
    <t>1: A política do laboratório determina principalmente - 2: Somente os antibióticos solicitados pelo médico - 3: Combinação igual de ambos</t>
  </si>
  <si>
    <t>"Cascade reporting” is a strategy of selective reporting of AST results in which secondary agents (e.g., broader spectrum, more costly) may be suppressed or excluded from the patient report if an organism is susceptible to primary agents within the same drug class.</t>
  </si>
  <si>
    <t>La "notification en cascade" est une stratégie de notification sélective des résultats de TSA dans laquelle les antibiotiques de seconde intention (spectre plus large, plus coûteux, par exemple) peuvent être supprimés ou exclus du rapport du patient si un organisme est sensible aux antibiotiques de première intention de la même classe de médicaments.</t>
  </si>
  <si>
    <t>El "informe en cascada" es una estrategia de notificación selectiva de los resultados de las PSA en el que los agentes secundarios (Ej., Espectro ampliado, los más costosos) pueden suprimirse o excluirse del informe del paciente si un organismo es sensible a agentes primarios dentro de la misma clase de medicamentos.</t>
  </si>
  <si>
    <t>O "Relatório em Cascata” é uma estratégia de notificação seletiva de resultados de TSA em que agentes secundários (Ex., amplo espectro, mais dispendioso) podem ser suprimidos ou excluídos do relatório do paciente se um organismo for sensível aos agentes primários dentro da mesma classe de medicamentos.</t>
  </si>
  <si>
    <t xml:space="preserve"> Does the lab practice “cascade reporting”?</t>
  </si>
  <si>
    <t> Le laboratoire pratique-t-il la «notification en cascade»?</t>
  </si>
  <si>
    <t> ¿Realiza el laboratorio "informes en cascada"?</t>
  </si>
  <si>
    <t xml:space="preserve"> O laboratório pratica “Relatórios em cascata”?</t>
  </si>
  <si>
    <t>With cascade reporting, there is a risk that the AST results excluded from the patient report may also be excluded from the main data repository or LIS. This can lead to highly biased AMR surveillance and cumulative antibiogram statistics.</t>
  </si>
  <si>
    <t>Avec les rapports en cascade, les résultats du TSA exclus du rapport du patient risquent également d'être exclus de la base de donnée du laboratoire ou du LIS. Cela peut conduire à une surveillance fortement biaisée de la RAM et à des statistiques cumulatives d'antibiogramme.</t>
  </si>
  <si>
    <t>Con los informes en cascada, existe el riesgo de que los resultados de las PSA excluidos del informe del paciente puedan también excluirse de la base de datos principal o SIL. Esto puede conducir a grandes sesgos en la vigilancia de las RAM y en las estadísticas de los informes acumulados de antibiograma.</t>
  </si>
  <si>
    <t>Com os relatórios em cascata, há um risco de que os resultados de TSA  excluídos do relatório paciente possam também ser excluídos da base de dados principal ou SIL. Isso pode levar uma avaliação altamente tendenciosa  na vigilância de RAM e nas  estatísticas de antibiograma cumulativos.</t>
  </si>
  <si>
    <t>If the lab practices cascade reporting, is it done in a way which ensures that the AST results excluded from the patient report are NOT excluded from the LIS or other main data repository?</t>
  </si>
  <si>
    <t>Si le laboratoire utilise les rapports en cascade, veille-t-il à ce que les résultats du TSA exclus du rapport du patient NE soient PAS exclus du SIL ou de tout autre base de donnée majeure?</t>
  </si>
  <si>
    <t>Si el laboratorio realiza los informes en cascada, ¿se hace de una manera que garantice que los resultados de las PSA excluidos del informe del paciente NO se excluyan del SIL u otra base de datos principal?</t>
  </si>
  <si>
    <t>Se o laboratório realiza relatórios em cascata, o mesmo é feito de uma forma que garante que os resultados de TSA  excluídos do relatório paciente não são excluídos do LIS ou de outra base de dados principal?</t>
  </si>
  <si>
    <t>Does the hospital have an Antibiotic Stewardship Committee?</t>
  </si>
  <si>
    <t>L’hôpital a-t-il un comité de gestion des antibiotiques?</t>
  </si>
  <si>
    <t>¿Tiene el hospital un Comité de Antibióticos?</t>
  </si>
  <si>
    <t>O hospital possui um Comitê de Manejo de antibióticos?</t>
  </si>
  <si>
    <t>If the hospital has an Antibiotic Stewardship Committee, is a microbiologist a member?</t>
  </si>
  <si>
    <t>Si l'hôpital dispose d'un comité de gestion des antibiotiques, un microbiologiste en est-il un membre?</t>
  </si>
  <si>
    <t>Si el hospital tiene un Comité de Antibióticos, ¿algún miembro es microbiólogo?</t>
  </si>
  <si>
    <t>Se o hospital possui um Comitê de Manejo de Antibióticos, algum membro é um microbiologista?</t>
  </si>
  <si>
    <t>Does the hospital have a Pharmacy and Therapeutics Committee?</t>
  </si>
  <si>
    <t>L’hôpital a-t-il un comité de thérapeutique et produits pharmaceutiques?</t>
  </si>
  <si>
    <t>¿El hospital tiene un Comité de Farmacia?</t>
  </si>
  <si>
    <t>O hospital tem um Comitê de Farmácia de Terapêutica ?</t>
  </si>
  <si>
    <t>If the hospital has a Pharmacy and Therapeutics Committee, is a microbiologist a member?</t>
  </si>
  <si>
    <t>Si l'hôpital dispose d'un tel comité, un microbiologiste en est-il membre?</t>
  </si>
  <si>
    <t>Si el hospital tiene un Comité de Farmacia, ¿algún miembro es microbiólogo?</t>
  </si>
  <si>
    <t>Se o hospital tem um Comitê de Farmácia de Terapêutica, algum membro é microbiologista?</t>
  </si>
  <si>
    <t>Does the hospital's Antibiotic Stewardship or Pharmacy and Therapeutic Committee meet at least annually to review national or international AST panel recommendations and modify them based on the hospital's formulary and cumulative antibiogram?</t>
  </si>
  <si>
    <t>Est-ce que le comité de gestion des antibiotiques ou le comité thérapeutique et des produits pharmaceutiques de l'hôpital se réunit au moins une fois par an pour examiner les recommandations nationales et internationales relatives au panel de TSA, et modifie en conséquence le livret médical de l'hôpital et l'antibiogramme cumulatif?</t>
  </si>
  <si>
    <t>¿El Comité de Farmacia o el Comité de Antibióticos del hospital se reúne al menos una vez al año para revisar las recomendaciones nacionales o internacionales del panel de PSA  y modificarlas según el formulario del hospital y el informe acumulado de antibiograma?</t>
  </si>
  <si>
    <t>O Comitê de Manejo de Antibióticos (Stewardship) ou o Comitê de Farmácia e Terapêutica se reúne pelo menos anualmente para rever as recomendações do nacionais ou internacionais dos painéis de TSA e modificá-los com base no formulário do hospital e no antibiograma cumulativo?</t>
  </si>
  <si>
    <t xml:space="preserve">To be completed if there is no record of another safety audit in the past 12 months. This is not intended to be a comprehensive safety audit. </t>
  </si>
  <si>
    <t>À compléter si aucun autre audit de sécurité n'a été enregistré au cours des 12 derniers mois. Il ne s'agit pas d'un audit de sécurité complet.</t>
  </si>
  <si>
    <t>Completar en caso de que no haya registro de otra auditoría de seguridad en los últimos 12 meses. Esto no pretende ser una auditoría integral de seguridad.</t>
  </si>
  <si>
    <t>Para ser completada caso não haja registro de outra auditoria de segurança nos últimos 12 meses. Isto não pretende ser uma auditoria de segurança abrangente.</t>
  </si>
  <si>
    <t>ÉQUIPEMENT DE BIOSÉCURITÉ</t>
  </si>
  <si>
    <t>Is standard safety equipment available and in use in the laboratory?</t>
  </si>
  <si>
    <t>L'équipement de sécurité standard est-il disponible et utilisé dans le laboratoire?</t>
  </si>
  <si>
    <t>¿Hay equipos de seguridad estándar disponibles y en uso en el laboratorio?</t>
  </si>
  <si>
    <t>Há equipamentos padrões de segurança disponíveis e em uso no laboratório?</t>
  </si>
  <si>
    <t>Biosafety cabinets (Class IIA)</t>
  </si>
  <si>
    <t>Postes de Sécurité Microbiologique (classe IIA)</t>
  </si>
  <si>
    <t>Cabina de bioseguridad (clase IIA)</t>
  </si>
  <si>
    <t>Cabine de biossegurança (Classe IIA)</t>
  </si>
  <si>
    <t>Covers on each centrifuge bucket</t>
  </si>
  <si>
    <t>Couvercles sur chaque nacelle de centrifugeuse</t>
  </si>
  <si>
    <t>Cubiertas en cada cubeta de la centrífuga</t>
  </si>
  <si>
    <t>Cobertura em cada caçapa da centrifuga</t>
  </si>
  <si>
    <t>Cover over centrifuge rotor</t>
  </si>
  <si>
    <t>Couvercle sur le rotor de la centrifugeuse</t>
  </si>
  <si>
    <t>Tapa sobre rotor</t>
  </si>
  <si>
    <t>Tampa sobre o rotor da centrifuga</t>
  </si>
  <si>
    <t>Hand-washing station</t>
  </si>
  <si>
    <t>Lavabos pour le lavage des mains</t>
  </si>
  <si>
    <t>Estación de lavado de manos</t>
  </si>
  <si>
    <t>Estação de lavagem das mãos</t>
  </si>
  <si>
    <t>Eyewash station/bottle</t>
  </si>
  <si>
    <t>Douche oculaire</t>
  </si>
  <si>
    <t>Estación de lavado de ojos / botella</t>
  </si>
  <si>
    <t>Estação de lavagem dos olhos / garrafa</t>
  </si>
  <si>
    <t>Sharps containers</t>
  </si>
  <si>
    <t>Conteneurs à objets tranchants</t>
  </si>
  <si>
    <t>Contenedores de objetos punzantes</t>
  </si>
  <si>
    <t>Caixa de perfurocortantse</t>
  </si>
  <si>
    <t>Flame cabinet (for securely storing flammable liquids, e.g. ethanol)</t>
  </si>
  <si>
    <t>Armoire de sécurité (pour stocker en toute sécurité des liquides inflammables, par exemple de l'éthanol)</t>
  </si>
  <si>
    <t>Armario de seguridad para inflamables (para almacenar de forma segura líquidos inflamables, por ejemplo, etanol)</t>
  </si>
  <si>
    <t>Armário de segurança para inflamáveis (para segurança de armazenamento de líquidos inflamáveis, por exemplo, etanol)</t>
  </si>
  <si>
    <t>Spill kit</t>
  </si>
  <si>
    <t>Trousse en cas de déversement</t>
  </si>
  <si>
    <t>Kit de derrame</t>
  </si>
  <si>
    <t>Kit de derramamento</t>
  </si>
  <si>
    <t>First aid kit</t>
  </si>
  <si>
    <t>Trousse de premiers secours</t>
  </si>
  <si>
    <t>Botiquín de primeros auxilios</t>
  </si>
  <si>
    <t>Kit de primeiros socorros</t>
  </si>
  <si>
    <t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t>
  </si>
  <si>
    <t>Standard: il incombe à la direction du laboratoire de s'assurer que le laboratoire est équipé d'un équipement de sécurité standard. La liste ci-dessus est une liste partielle des éléments nécessaires. Les PSM doivent être en place et utilisées et toutes les centrifugeuses doivent avoir des couvercles. Les stations de lavage des mains doivent être désignées et équipées et les stations de lavage des yeux (ou une toute autre méthode acceptable de nettoyage des yeux) doivent être disponibles et fonctionnelles. Les trousses en cas de déversement et les trousses de premiers soins doivent être conservées dans un endroit désigné et contrôlées régulièrement.</t>
  </si>
  <si>
    <t>Estándar: El gestor del laboratorio es responsable de asegurar que el laboratorio esté equipado con equipos de seguridad estándar. La lista anterior es una lista parcial de elementos necesarios. Las cabinas de bioseguridad deben estar en su lugar y en uso y todas las centrífugas deben tener cubiertas. Las estaciones de lavado de manos deben estar designadas y equipadas y las estaciones de lavado de ojos (o un método alternativo aceptable de limpieza de ojos) deben estar disponibles y estar en estado operativo. Los kits de derrames y los botiquines de primeros auxilios deben guardarse en un lugar designado y revisarse regularmente para determinar si están listos para ser usados.</t>
  </si>
  <si>
    <t>Norma: É de responsabilidade da administração laboratório garantir que o laboratório esteja equipado com equipamentos de segurança padrão. A lista acima é uma lista parcial de itens necessários. Cabines de Biossegurança deve estar no lugar e em uso e todas as centrífugas devem ter tampas. Estações de lavagem das mãos devem ser designadas e equipadas e as estações de  lavagem de olhos (ou um método alternativo aceitável de limpeza de olho) deve estar disponível e operável.Kits de derramamento e kits de primeiros socorros devem ser mantidos em um local designado e verificados regularmente para a prontidão.</t>
  </si>
  <si>
    <t>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t>
  </si>
  <si>
    <t>Norme: ISO 15189: 5.2.10 Toutes les seringues, aiguilles, lancettes ou autres dispositifs tranchant capables de transmettre l'infection ne doivent être utilisées qu'une seule fois et jetés dans des récipients résistant à la perforation qui ne sont pas trop remplis. Les conteneurs pour objets pointus doivent être clairement identifiés pour avertir les personnes qui le manipulent du danger potentiel et doivent être situés dans des zones où les objets pointus sont couramment utilisés.</t>
  </si>
  <si>
    <t>Estándar: ISO 15189: 5.2.10 Todas las jeringas, agujas, lancetas u otros dispositivos para extracciones de sangre capaces de transmitir infecciones deben usarse solo una vez y desecharse en recipientes resistentes a los pinchazos que no se llenen en exceso. Los contenedores de objetos punzantes deben estar claramente marcados para advertir a los manipuladores del peligro potencial y deben ubicarse en áreas donde los objetos punzantes se usan comúnmente.</t>
  </si>
  <si>
    <t>Norma ISO 15189: 5.2.10 Todas as seringas, agulhas, lancetas, ou outros dispositivos de sangria capazes de transmitir a infecção devem ser usados apenas uma vez e descartados em recipientes perfurocortantes que não devem estar  sobrecarregadas. Os recipientes  de agulhas devem ser claramente marcados para advertir do risco potencial e devem estar localizados em áreas onde objetos perfurocortantes sejam comumente usados.</t>
  </si>
  <si>
    <t xml:space="preserve">Have all biosafety cabinets been recertified within a year of today’s date? </t>
  </si>
  <si>
    <t>Est-ce que toutes lesPSM  ont été recertifiées il y a moins d'un an?</t>
  </si>
  <si>
    <t>¿Se han re-certificado todas las cabinas de bioseguridad en el plazo de un año a parir de la fecha de hoy?</t>
  </si>
  <si>
    <t xml:space="preserve">Todas as cabines de biossegurança foram recertificadas dentro de um ano da data de hoje? </t>
  </si>
  <si>
    <t>Standard: A biosafety cabinet should be used for to prevent aerosol exposure to contagious specimens or organisms. For proper functioning and full protection, biosafety cabinets require periodic maintenance and should be serviced accordingly.</t>
  </si>
  <si>
    <t>Norme: une PSM doit être utilisée pour prévenir l'exposition des aérosols à des échantillons ou organismes contagieux. Pour un fonctionnement correct et une protection totale, les PSM nécessitent un entretien périodique et doivent être entretenues en conséquence.</t>
  </si>
  <si>
    <r>
      <t>Estándar: Un cabina de bioseguridad debe usarse para evitar la exposición a los aerosoles de muestras u organismos contagiosos. Para un funcionamiento adecuado y una protección total, las cabinas de bioseguridad requieren mantenimiento periódico y se les debe prestar servicio</t>
    </r>
    <r>
      <rPr>
        <sz val="10"/>
        <color rgb="FFFF0000"/>
        <rFont val="Calibri"/>
        <family val="2"/>
        <scheme val="minor"/>
      </rPr>
      <t xml:space="preserve"> </t>
    </r>
    <r>
      <rPr>
        <sz val="10"/>
        <color rgb="FF000000"/>
        <rFont val="Calibri"/>
        <family val="2"/>
        <scheme val="minor"/>
      </rPr>
      <t>en consecuencia.</t>
    </r>
  </si>
  <si>
    <t>Norma: Uma cabine de segurança biológica deve ser utilizada para evitar a exposição ao aerossol para espécimes ou organismos contagiosos. Para o funcionamento adequado e uma proteção completa, cabines de biossegurança requerem manutenção periódica e devem receber serviço de acordo com as especificações.</t>
  </si>
  <si>
    <t>Is all necessary personal protective equipment (PPE) available for BSL2?</t>
  </si>
  <si>
    <t>Est-ce que tout l'équipement de protection individuelle (EPI) nécessaire pour un BSL2 est disponible?</t>
  </si>
  <si>
    <t>¿Están disponibles todos los equipos de protección personal (EPI) necesarios para trabajar en un BSL2?</t>
  </si>
  <si>
    <t>Todos os equipamentos de proteção individual necessários (EPI) estão disponíveis para trabalhar em um BSL2?</t>
  </si>
  <si>
    <t>Gowns</t>
  </si>
  <si>
    <t>Blouses</t>
  </si>
  <si>
    <t>Batas</t>
  </si>
  <si>
    <t>Jalecos</t>
  </si>
  <si>
    <t>Gloves</t>
  </si>
  <si>
    <t>Gants</t>
  </si>
  <si>
    <t>Guantes</t>
  </si>
  <si>
    <t>Luvas</t>
  </si>
  <si>
    <t>Eye protection</t>
  </si>
  <si>
    <t>Lunettes de protection</t>
  </si>
  <si>
    <t>Gafas de protección</t>
  </si>
  <si>
    <t>Óculos</t>
  </si>
  <si>
    <t>Aerosol face protection (respirator, face shield, or splatter guard)</t>
  </si>
  <si>
    <t>Protection faciale pour les aérosols (masque, écran facial ou protection contre les éclaboussures)</t>
  </si>
  <si>
    <t>Protección facial frente a aerosoles (máscara, careta o protector contra salpicaduras)</t>
  </si>
  <si>
    <t>Protetor Facial contra Aerossol (máscara, protetor facial, ou protetor contra salpicos)</t>
  </si>
  <si>
    <t>Does lab policy require microbiology staff to wear close-toed shoes?</t>
  </si>
  <si>
    <t>La politique du laboratoire exige-t-elle que le personnel de microbiologie porte des chaussures fermées?</t>
  </si>
  <si>
    <t>¿Requiere la política del laboratorio que el personal de microbiología use zapatos cerrados?</t>
  </si>
  <si>
    <t>A política laboratório requer que o pessoal microbiologia use sapatos fechados?</t>
  </si>
  <si>
    <t>Is PPE utilized appropriately and consistently by laboratory staff? (Observe)</t>
  </si>
  <si>
    <t>Les EPI sont-ils utilisés de manière appropriée et cohérente par le personnel de laboratoire? (Observez)</t>
  </si>
  <si>
    <t>¿Utiliza el personal de laboratorio los EPIs de manera adecuada y consistente? (Observar)</t>
  </si>
  <si>
    <t>O pessoal do laboratório utiliza os EPIs de forma adequada e consistente ? (Observar)</t>
  </si>
  <si>
    <t>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t>
  </si>
  <si>
    <t>Norme: La direction est tenue de fournir un équipement de protection individuelle approprié - gants, sarraus de laboratoire, lunettes de protection, visières, etc. - en état de fonctionnement. Le personnel de laboratoire doit utiliser à tout moment un équipement de protection individuelle. Les vêtements de protection ne doivent pas être portés à l'extérieur du laboratoire. Les gants doivent être remplacés immédiatement lorsqu'ils sont déchirés ou contaminés etne doivent jamais être lavés afin d'être réutilisés</t>
  </si>
  <si>
    <t>Estándar: la gerencia es responsable de proporcionar el equipo de protección personal adecuado (guantes, batas de laboratorio, protección ocular, protectores, etc.) en condiciones de uso. El personal del laboratorio debe utilizar equipos de protección personal en el laboratorio en todo momento. No se deben usar equipos de protección personal fuera del laboratorio. Los guantes deben reemplazarse inmediatamente cuando estén rotos o contaminados y no lavarse para su reutilización</t>
  </si>
  <si>
    <t>Norma: A administração é responsável para fornecer equipamento de proteção individual adequado - luvas, jalecos, óculos de proteção, protetores, etc. - em estado utilizável. O pessoal de laboratório deve utilizar equipamentos de proteção individual no laboratório em todos os momentos. Jalecos  não devem ser usados fora do laboratório. As luvas devem ser substituídos imediatamente, quando rasgada ou contaminadas e não lavadas para reutilização</t>
  </si>
  <si>
    <t>COMPORTEMENTS DE BIOSÉCURITÉ</t>
  </si>
  <si>
    <t>Does lab policy prohibit eating, drinking, and smoking in the laboratory?</t>
  </si>
  <si>
    <t>La politique du laboratoire interdit-elle de manger, de boire et de fumer dans le laboratoire?</t>
  </si>
  <si>
    <t>¿Prohíbe la política de laboratorio comer, beber y fumar en el laboratorio?</t>
  </si>
  <si>
    <t>A política do laboratório proíbe de comer, beber e fumar no laboratório?</t>
  </si>
  <si>
    <t>Observe the refrigerators and freezers where media and reagents are stored. Are they:</t>
  </si>
  <si>
    <t>Observez les réfrigérateurs et les congélateurs où sont stockés les milieux et les réactifs. Sont-ils:</t>
  </si>
  <si>
    <t>Observe las neveras y congeladores donde se almacenan los medios y reactivos. ¿Están:</t>
  </si>
  <si>
    <t>Observe as geladeiras e freezers onde os meios e os reagentes são armazenados. São eles:</t>
  </si>
  <si>
    <t>Designated specifically for storage of media/reagents?</t>
  </si>
  <si>
    <t>Désigné spécifiquement pour le stockage des milieux / réactifs?</t>
  </si>
  <si>
    <t>¿Designados específicamente para el almacenamiento de medios / reactivos?</t>
  </si>
  <si>
    <t>Designado especificamente para o armazenamento de meios/reagentes?</t>
  </si>
  <si>
    <t>Free of staff food items?</t>
  </si>
  <si>
    <t>Exempts de nourriture du personnel?</t>
  </si>
  <si>
    <t>¿Libres de alimentos del personal?</t>
  </si>
  <si>
    <t>Livre de alimentos do pessoal?</t>
  </si>
  <si>
    <t>Free of patient samples?</t>
  </si>
  <si>
    <t>Exempts d'échantillons de patients?</t>
  </si>
  <si>
    <t>¿Libres de muestras de pacientes?</t>
  </si>
  <si>
    <t>Livre de amostras de pacientes?</t>
  </si>
  <si>
    <t>Well organized and free of clutter?</t>
  </si>
  <si>
    <t>Bien organisés et sans encombrement?</t>
  </si>
  <si>
    <t>¿Bien organizados y ordenados?</t>
  </si>
  <si>
    <t>Bem organizado e ordenados?</t>
  </si>
  <si>
    <t>Are all hazardous chemicals stored appropriately (acids separate from alkaline; flammables in a flame cabinet)?</t>
  </si>
  <si>
    <t>Tous les produits chimiques dangereux sont-ils entreposés correctement (acides séparés des bases; produits inflammables dans une armoire ignifugée)?</t>
  </si>
  <si>
    <t>¿Se almacenan todos los productos químicos peligrosos de manera adecuada (ácidos separados de los alcalinos; inflamables en un armario de seguridad)?</t>
  </si>
  <si>
    <t>Todos os produtos químicos perigosos são armazenados de forma adequada (ácidos separados das bases ; inflamáveis ​​em um armário de segurança)?</t>
  </si>
  <si>
    <t xml:space="preserve">Is work area (bench and hood) disinfection documented daily? </t>
  </si>
  <si>
    <t>La désinfection des zones de travail (paillasse et hotte) est-elle documentée quotidiennement?</t>
  </si>
  <si>
    <t>¿Se documenta diariamente la desinfección del área de trabajo (poyata y campana)?</t>
  </si>
  <si>
    <t xml:space="preserve">A desinfecção da área de trabalho é (bancada e capela) é documentado a diariamente? </t>
  </si>
  <si>
    <t>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t>
  </si>
  <si>
    <t>Norme: ISO 15189: 5.2.10 La propreté et l'absence de fuites dans la zone de travail doivent être régulièrement inspectées. Un désinfectant approprié doit être utilisé. Au minimum, tous les plans de travail et les surfaces de travail doivent être désinfectés au début et à la fin de chaque prise de poste du personnel. Tous les déversements doivent être contenus immédiatement et les surfaces de travail désinfectées.</t>
  </si>
  <si>
    <t>Estándar: ISO 15189: 5.2.10 El área de trabajo debe inspeccionarse periódicamente para verificar su limpieza y derrames. Se debe usar un desinfectante apropiado. Como mínimo, todas las poyatas y superficies de trabajo deben desinfectarse al principio y al final de cada turno. Todos los derrames deben ser contenidos inmediatamente y las superficies de trabajo desinfectadas.</t>
  </si>
  <si>
    <t>Norma: ISO 15189: 5.2.10 A área de trabalho deve ser inspecionada regularmente para a limpeza e vazamento. Um desinfetante apropriado deve ser usado. No mínimo, todas as bancadas e superfícies de trabalho devem ser desinfectadas no início e no final de cada turno. Todos os derramamentos devem ser contidos imediatamente e as superfícies de trabalho desinfectadas</t>
  </si>
  <si>
    <t>BIOSÉCURITÉ: DOCUMENTATION ET FORMATION</t>
  </si>
  <si>
    <t xml:space="preserve">DOCUMENTAÇÃO E TREINAMENTO EM BIOSSEGURANÇA </t>
  </si>
  <si>
    <t>Is a safety/biosafety manual available in the laboratory and easily accessible to all staff?</t>
  </si>
  <si>
    <t>Un manuel de sécurité / biosécurité est-il disponible dans le laboratoire et facilement accessible à tout le personnel?</t>
  </si>
  <si>
    <t>¿Hay disponible en el laboratorio algún manual de seguridad / bioseguridad de fácil acceso para todo el personal?</t>
  </si>
  <si>
    <t>Existe um manual de segurança / biossegurança disponível no laboratório e facilmente acessível a todos os funcionários?</t>
  </si>
  <si>
    <t>Is a training module in safety/biosafety available in the laboratory?</t>
  </si>
  <si>
    <t>Un module de formation en sécurité / biosécurité est-il disponible dans le laboratoire?</t>
  </si>
  <si>
    <t>¿Hay disponible en el laboratorio algún módulo de formación en seguridad / bioseguridad?</t>
  </si>
  <si>
    <t>Existe um módulo de treinamento em segurança / biossegurança disponível no laboratório?</t>
  </si>
  <si>
    <t>Is there documentation demonstrating that an annual safety/biosafety refresher course is conducted for all staff handling specimens, isolates, or chemicals?</t>
  </si>
  <si>
    <t>Existe-t-il des documents démontrant qu'un cours de maintien des compétences annuel sur la sécurité / biosécurité est organisé pour tout le personnel manipulant des échantillons, des isolats ou des produits chimiques?</t>
  </si>
  <si>
    <t>¿Hay documentación que demuestre que se realiza un curso anual de actualización en seguridad / bioseguridad para todo el personal que maneje muestras, aislados o productos químicos?</t>
  </si>
  <si>
    <t>Existe documentação que demonstre que um treinamento anual de reciclagem em segurança / biossegurança foi realizado para todos os funcionários manuseiem as amostras, isolados, ou produtos químicos?</t>
  </si>
  <si>
    <t>Is there documentation demonstrating that accident/incident investigations are systematically conducted?</t>
  </si>
  <si>
    <t>Existe-t-il des documents démontrant que des enquêtes sur les accidents / incidents sont systématiquement menées?</t>
  </si>
  <si>
    <t>¿Hay documentación que demuestre que las investigaciones de accidentes / incidentes se llevan a cabo sistemáticamente?</t>
  </si>
  <si>
    <t>Existe documentação que demonstre  que investigações de acidentes / incidentes são realizadas sistematicamente?</t>
  </si>
  <si>
    <t>Are risk assessments conducted annually and each time a new analysis/technology/equipment is introduced?</t>
  </si>
  <si>
    <t>Des évaluations des risques sont-elles effectuées chaque année et chaque fois qu'une nouvelle analyse / technologie / équipement est introduit?</t>
  </si>
  <si>
    <t>¿Se realizan evaluaciones de riesgos anuales y cada vez que se introduce un nuevo análisis / tecnología / equipo?</t>
  </si>
  <si>
    <t>As avaliações de risco são realizadas anualmente e cada vez que uma nova análise / tecnologia / equipamento é introduzido?</t>
  </si>
  <si>
    <t>Refer to the User Guide for Export instructions. Failure to follow directions will result in major errors.</t>
  </si>
  <si>
    <t>Reportez-vous au guide de l'utilisateur pour les instructions d'exportation. Le non-respect des instructions entraînera des erreurs majeures.</t>
  </si>
  <si>
    <t>Consulte el Guía del Usuario para obtener instrucciones de exportación. Si no se siguen las instrucciones se producirán errores importantes.</t>
  </si>
  <si>
    <t>Consulte o guia do usuário para obter instruções de exportação. O não cumprimento das instruções resultará em erros graves.</t>
  </si>
  <si>
    <t>CLSI 2020</t>
  </si>
  <si>
    <t>EUCAST 2020</t>
  </si>
  <si>
    <t>MIC method</t>
  </si>
  <si>
    <t>Disk Diffusion</t>
  </si>
  <si>
    <t>Disk µg</t>
  </si>
  <si>
    <t>S</t>
  </si>
  <si>
    <t>I</t>
  </si>
  <si>
    <t>R</t>
  </si>
  <si>
    <t>Ciprofloxacin</t>
  </si>
  <si>
    <r>
      <t>&lt;</t>
    </r>
    <r>
      <rPr>
        <sz val="9"/>
        <color theme="1"/>
        <rFont val="Calibri"/>
        <family val="2"/>
        <scheme val="minor"/>
      </rPr>
      <t>0.06</t>
    </r>
  </si>
  <si>
    <t>0.12-0.5</t>
  </si>
  <si>
    <r>
      <t>&gt;</t>
    </r>
    <r>
      <rPr>
        <sz val="9"/>
        <color theme="1"/>
        <rFont val="Calibri"/>
        <family val="2"/>
        <scheme val="minor"/>
      </rPr>
      <t>1</t>
    </r>
  </si>
  <si>
    <r>
      <t>&gt;</t>
    </r>
    <r>
      <rPr>
        <sz val="9"/>
        <color theme="1"/>
        <rFont val="Calibri"/>
        <family val="2"/>
        <scheme val="minor"/>
      </rPr>
      <t>31</t>
    </r>
  </si>
  <si>
    <t>21-30</t>
  </si>
  <si>
    <r>
      <t>&lt;</t>
    </r>
    <r>
      <rPr>
        <sz val="9"/>
        <color theme="1"/>
        <rFont val="Calibri"/>
        <family val="2"/>
        <scheme val="minor"/>
      </rPr>
      <t>20</t>
    </r>
  </si>
  <si>
    <t>-</t>
  </si>
  <si>
    <t>&gt;0.06</t>
  </si>
  <si>
    <t>Levofloxacin</t>
  </si>
  <si>
    <r>
      <t>&lt;</t>
    </r>
    <r>
      <rPr>
        <sz val="9"/>
        <color theme="1"/>
        <rFont val="Calibri"/>
        <family val="2"/>
        <scheme val="minor"/>
      </rPr>
      <t>0.12</t>
    </r>
  </si>
  <si>
    <t>0.25-1</t>
  </si>
  <si>
    <r>
      <t>&gt;</t>
    </r>
    <r>
      <rPr>
        <sz val="9"/>
        <color theme="1"/>
        <rFont val="Calibri"/>
        <family val="2"/>
        <scheme val="minor"/>
      </rPr>
      <t>2</t>
    </r>
  </si>
  <si>
    <t>Pefloxacin screen</t>
  </si>
  <si>
    <r>
      <t>&gt;</t>
    </r>
    <r>
      <rPr>
        <sz val="9"/>
        <color theme="1"/>
        <rFont val="Calibri"/>
        <family val="2"/>
        <scheme val="minor"/>
      </rPr>
      <t>24</t>
    </r>
  </si>
  <si>
    <r>
      <t>&lt;</t>
    </r>
    <r>
      <rPr>
        <sz val="9"/>
        <color theme="1"/>
        <rFont val="Calibri"/>
        <family val="2"/>
        <scheme val="minor"/>
      </rPr>
      <t>23</t>
    </r>
  </si>
  <si>
    <t>&lt;24</t>
  </si>
  <si>
    <t>Enterobacterales</t>
  </si>
  <si>
    <t>I / S-DD*</t>
  </si>
  <si>
    <t>Aztreonam</t>
  </si>
  <si>
    <r>
      <t>&lt;</t>
    </r>
    <r>
      <rPr>
        <sz val="9"/>
        <color theme="1"/>
        <rFont val="Calibri"/>
        <family val="2"/>
        <scheme val="minor"/>
      </rPr>
      <t>4</t>
    </r>
  </si>
  <si>
    <r>
      <t>&gt;</t>
    </r>
    <r>
      <rPr>
        <sz val="9"/>
        <color theme="1"/>
        <rFont val="Calibri"/>
        <family val="2"/>
        <scheme val="minor"/>
      </rPr>
      <t>16</t>
    </r>
  </si>
  <si>
    <r>
      <t>&gt;</t>
    </r>
    <r>
      <rPr>
        <sz val="9"/>
        <color theme="1"/>
        <rFont val="Calibri"/>
        <family val="2"/>
        <scheme val="minor"/>
      </rPr>
      <t>21</t>
    </r>
  </si>
  <si>
    <t>18-20</t>
  </si>
  <si>
    <r>
      <t>&lt;</t>
    </r>
    <r>
      <rPr>
        <sz val="9"/>
        <color theme="1"/>
        <rFont val="Calibri"/>
        <family val="2"/>
        <scheme val="minor"/>
      </rPr>
      <t>17</t>
    </r>
  </si>
  <si>
    <r>
      <t>&lt;</t>
    </r>
    <r>
      <rPr>
        <sz val="9"/>
        <color theme="1"/>
        <rFont val="Calibri"/>
        <family val="2"/>
        <scheme val="minor"/>
      </rPr>
      <t>1</t>
    </r>
  </si>
  <si>
    <t>&gt;4</t>
  </si>
  <si>
    <r>
      <t>&gt;</t>
    </r>
    <r>
      <rPr>
        <sz val="9"/>
        <color theme="1"/>
        <rFont val="Calibri"/>
        <family val="2"/>
        <scheme val="minor"/>
      </rPr>
      <t>26</t>
    </r>
  </si>
  <si>
    <t>&lt;21</t>
  </si>
  <si>
    <r>
      <t>&gt;</t>
    </r>
    <r>
      <rPr>
        <sz val="9"/>
        <color theme="1"/>
        <rFont val="Calibri"/>
        <family val="2"/>
        <scheme val="minor"/>
      </rPr>
      <t>4</t>
    </r>
  </si>
  <si>
    <t>23-25</t>
  </si>
  <si>
    <r>
      <t>&lt;</t>
    </r>
    <r>
      <rPr>
        <sz val="9"/>
        <color theme="1"/>
        <rFont val="Calibri"/>
        <family val="2"/>
        <scheme val="minor"/>
      </rPr>
      <t>22</t>
    </r>
  </si>
  <si>
    <t>&gt;2</t>
  </si>
  <si>
    <r>
      <t>&gt;</t>
    </r>
    <r>
      <rPr>
        <sz val="9"/>
        <color theme="1"/>
        <rFont val="Calibri"/>
        <family val="2"/>
        <scheme val="minor"/>
      </rPr>
      <t>20</t>
    </r>
  </si>
  <si>
    <t>&lt;17</t>
  </si>
  <si>
    <r>
      <t>&gt;</t>
    </r>
    <r>
      <rPr>
        <sz val="9"/>
        <color theme="1"/>
        <rFont val="Calibri"/>
        <family val="2"/>
        <scheme val="minor"/>
      </rPr>
      <t>23</t>
    </r>
  </si>
  <si>
    <t>20-22</t>
  </si>
  <si>
    <r>
      <t>&lt;</t>
    </r>
    <r>
      <rPr>
        <sz val="9"/>
        <color theme="1"/>
        <rFont val="Calibri"/>
        <family val="2"/>
        <scheme val="minor"/>
      </rPr>
      <t>19</t>
    </r>
  </si>
  <si>
    <r>
      <t>&gt;</t>
    </r>
    <r>
      <rPr>
        <sz val="9"/>
        <color theme="1"/>
        <rFont val="Calibri"/>
        <family val="2"/>
        <scheme val="minor"/>
      </rPr>
      <t>25</t>
    </r>
  </si>
  <si>
    <t>&lt;22</t>
  </si>
  <si>
    <t>Ceftazidime</t>
  </si>
  <si>
    <r>
      <t>&gt;</t>
    </r>
    <r>
      <rPr>
        <sz val="9"/>
        <color theme="1"/>
        <rFont val="Calibri"/>
        <family val="2"/>
        <scheme val="minor"/>
      </rPr>
      <t>22</t>
    </r>
  </si>
  <si>
    <t>&lt;19</t>
  </si>
  <si>
    <r>
      <t>&lt;</t>
    </r>
    <r>
      <rPr>
        <sz val="9"/>
        <color theme="1"/>
        <rFont val="Calibri"/>
        <family val="2"/>
        <scheme val="minor"/>
      </rPr>
      <t>2</t>
    </r>
  </si>
  <si>
    <t>4-8*</t>
  </si>
  <si>
    <t>19-24*</t>
  </si>
  <si>
    <r>
      <t>&lt;</t>
    </r>
    <r>
      <rPr>
        <sz val="9"/>
        <color theme="1"/>
        <rFont val="Calibri"/>
        <family val="2"/>
        <scheme val="minor"/>
      </rPr>
      <t>18</t>
    </r>
  </si>
  <si>
    <r>
      <t>&gt;</t>
    </r>
    <r>
      <rPr>
        <sz val="9"/>
        <color theme="1"/>
        <rFont val="Calibri"/>
        <family val="2"/>
        <scheme val="minor"/>
      </rPr>
      <t>27</t>
    </r>
  </si>
  <si>
    <t>&gt;8</t>
  </si>
  <si>
    <t>&lt;16</t>
  </si>
  <si>
    <t>Doripenem</t>
  </si>
  <si>
    <r>
      <t>&lt;</t>
    </r>
    <r>
      <rPr>
        <sz val="9"/>
        <color theme="1"/>
        <rFont val="Calibri"/>
        <family val="2"/>
        <scheme val="minor"/>
      </rPr>
      <t>0.5</t>
    </r>
  </si>
  <si>
    <t>19-21</t>
  </si>
  <si>
    <t>&gt;0.5</t>
  </si>
  <si>
    <t>&lt;25</t>
  </si>
  <si>
    <t>*S-DD = Susceptible, but dose-dependent</t>
  </si>
  <si>
    <r>
      <t>&gt;</t>
    </r>
    <r>
      <rPr>
        <sz val="9"/>
        <color theme="1"/>
        <rFont val="Calibri"/>
        <family val="2"/>
        <scheme val="minor"/>
      </rPr>
      <t>8</t>
    </r>
  </si>
  <si>
    <r>
      <t>&gt;</t>
    </r>
    <r>
      <rPr>
        <sz val="9"/>
        <color theme="1"/>
        <rFont val="Calibri"/>
        <family val="2"/>
        <scheme val="minor"/>
      </rPr>
      <t>18</t>
    </r>
  </si>
  <si>
    <t>15-17</t>
  </si>
  <si>
    <r>
      <t>&lt;</t>
    </r>
    <r>
      <rPr>
        <sz val="9"/>
        <color theme="1"/>
        <rFont val="Calibri"/>
        <family val="2"/>
        <scheme val="minor"/>
      </rPr>
      <t>14</t>
    </r>
  </si>
  <si>
    <t>&lt;15</t>
  </si>
  <si>
    <t>EUCAST 2019</t>
  </si>
  <si>
    <r>
      <t>&lt;</t>
    </r>
    <r>
      <rPr>
        <sz val="9"/>
        <color theme="1"/>
        <rFont val="Calibri"/>
        <family val="2"/>
        <scheme val="minor"/>
      </rPr>
      <t>8</t>
    </r>
  </si>
  <si>
    <r>
      <t>&gt;</t>
    </r>
    <r>
      <rPr>
        <sz val="9"/>
        <color theme="1"/>
        <rFont val="Calibri"/>
        <family val="2"/>
        <scheme val="minor"/>
      </rPr>
      <t>32</t>
    </r>
  </si>
  <si>
    <t>16-21</t>
  </si>
  <si>
    <r>
      <t>&lt;</t>
    </r>
    <r>
      <rPr>
        <sz val="9"/>
        <color theme="1"/>
        <rFont val="Calibri"/>
        <family val="2"/>
        <scheme val="minor"/>
      </rPr>
      <t>15</t>
    </r>
  </si>
  <si>
    <r>
      <t>&lt;</t>
    </r>
    <r>
      <rPr>
        <sz val="9"/>
        <color theme="1"/>
        <rFont val="Calibri"/>
        <family val="2"/>
        <scheme val="minor"/>
      </rPr>
      <t>16</t>
    </r>
  </si>
  <si>
    <t>&gt;16</t>
  </si>
  <si>
    <t>&lt;18</t>
  </si>
  <si>
    <t>Piperacillin</t>
  </si>
  <si>
    <t>32-64</t>
  </si>
  <si>
    <r>
      <t>&gt;</t>
    </r>
    <r>
      <rPr>
        <sz val="9"/>
        <color theme="1"/>
        <rFont val="Calibri"/>
        <family val="2"/>
        <scheme val="minor"/>
      </rPr>
      <t>128</t>
    </r>
  </si>
  <si>
    <t>15-20</t>
  </si>
  <si>
    <t>Pip-Tazo</t>
  </si>
  <si>
    <t>100/10</t>
  </si>
  <si>
    <t>30/6</t>
  </si>
  <si>
    <t>Ticar-Clav</t>
  </si>
  <si>
    <t>75/10</t>
  </si>
  <si>
    <t>16-23</t>
  </si>
  <si>
    <r>
      <t>&gt;</t>
    </r>
    <r>
      <rPr>
        <sz val="9"/>
        <color theme="1"/>
        <rFont val="Calibri"/>
        <family val="2"/>
        <scheme val="minor"/>
      </rPr>
      <t>19</t>
    </r>
  </si>
  <si>
    <t>16-18</t>
  </si>
  <si>
    <t>&lt;20</t>
  </si>
  <si>
    <t>0.1</t>
  </si>
  <si>
    <t>0.2</t>
  </si>
  <si>
    <t>0.3</t>
  </si>
  <si>
    <t>0.4</t>
  </si>
  <si>
    <t>0.5</t>
  </si>
  <si>
    <t>0.6</t>
  </si>
  <si>
    <t>0.7</t>
  </si>
  <si>
    <t>0.8</t>
  </si>
  <si>
    <t>0.9</t>
  </si>
  <si>
    <t>0.10</t>
  </si>
  <si>
    <t>0.11</t>
  </si>
  <si>
    <t>0.12</t>
  </si>
  <si>
    <t>0.13</t>
  </si>
  <si>
    <t>0.14</t>
  </si>
  <si>
    <t>0.15</t>
  </si>
  <si>
    <t>0.16</t>
  </si>
  <si>
    <t>0.17</t>
  </si>
  <si>
    <t>0.18</t>
  </si>
  <si>
    <t>0.20</t>
  </si>
  <si>
    <t>0.21</t>
  </si>
  <si>
    <t>0.22</t>
  </si>
  <si>
    <t>0.23</t>
  </si>
  <si>
    <t>n/a</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</si>
  <si>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</si>
  <si>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</si>
  <si>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</si>
  <si>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</si>
  <si>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</si>
  <si>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</si>
  <si>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</si>
  <si>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</si>
  <si>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</si>
  <si>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</si>
  <si>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</si>
  <si>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</si>
  <si>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</si>
  <si>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</si>
  <si>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</si>
  <si>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</si>
  <si>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</si>
  <si>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</si>
  <si>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</si>
  <si>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</si>
  <si>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</si>
  <si>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</si>
  <si>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</si>
  <si>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</si>
  <si>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</si>
  <si>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</si>
  <si>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</si>
  <si>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</si>
  <si>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</si>
  <si>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</si>
  <si>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</si>
  <si>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</si>
  <si>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</si>
  <si>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</si>
  <si>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</si>
  <si>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</si>
  <si>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</si>
  <si>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</si>
  <si>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</si>
  <si>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</si>
  <si>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</si>
  <si>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</si>
  <si>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</si>
  <si>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</si>
  <si>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</si>
  <si>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</si>
  <si>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</si>
  <si>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</si>
  <si>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</si>
  <si>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</si>
  <si>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</si>
  <si>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</si>
  <si>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</si>
  <si>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</si>
  <si>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</si>
  <si>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</si>
  <si>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</si>
  <si>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</si>
  <si>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</si>
  <si>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</si>
  <si>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</si>
  <si>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</si>
  <si>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https://ilac.org/signatory-search/#elementid</t>
  </si>
  <si>
    <t>1.1</t>
  </si>
  <si>
    <t>1.2</t>
  </si>
  <si>
    <t>1.3</t>
  </si>
  <si>
    <t>1.4</t>
  </si>
  <si>
    <t>1.5</t>
  </si>
  <si>
    <t>1.6</t>
  </si>
  <si>
    <t>1.7</t>
  </si>
  <si>
    <t>1.8</t>
  </si>
  <si>
    <t>1.9</t>
  </si>
  <si>
    <t>1.10</t>
  </si>
  <si>
    <t>1.11</t>
  </si>
  <si>
    <t>1.12</t>
  </si>
  <si>
    <t>#</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</si>
  <si>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</si>
  <si>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</si>
  <si>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</si>
  <si>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</si>
  <si>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</si>
  <si>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</si>
  <si>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</si>
  <si>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</si>
  <si>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</si>
  <si>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</si>
  <si>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</si>
  <si>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</si>
  <si>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</si>
  <si>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</si>
  <si>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</si>
  <si>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</si>
  <si>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</si>
  <si>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</si>
  <si>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</si>
  <si>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</si>
  <si>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</si>
  <si>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</si>
  <si>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</si>
  <si>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</si>
  <si>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</si>
  <si>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</si>
  <si>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</si>
  <si>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</si>
  <si>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</si>
  <si>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</si>
  <si>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</si>
  <si>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</si>
  <si>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</si>
  <si>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</si>
  <si>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</si>
  <si>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</si>
  <si>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</si>
  <si>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</si>
  <si>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</si>
  <si>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</si>
  <si>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</si>
  <si>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</si>
  <si>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</si>
  <si>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</si>
  <si>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</si>
  <si>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</si>
  <si>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</si>
  <si>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</si>
  <si>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</si>
  <si>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</si>
  <si>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</si>
  <si>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</si>
  <si>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</si>
  <si>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</si>
  <si>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</si>
  <si>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</si>
  <si>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</si>
  <si>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</si>
  <si>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</si>
  <si>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</si>
  <si>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</si>
  <si>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</si>
  <si>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</si>
  <si>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</si>
  <si>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</si>
  <si>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</si>
  <si>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</si>
  <si>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</si>
  <si>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</si>
  <si>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</si>
  <si>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</si>
  <si>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</si>
  <si>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</si>
  <si>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</si>
  <si>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</si>
  <si>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</si>
  <si>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</si>
  <si>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</si>
  <si>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</si>
  <si>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</si>
  <si>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</si>
  <si>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</si>
  <si>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</si>
  <si>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</si>
  <si>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</si>
  <si>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</si>
  <si>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</si>
  <si>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</si>
  <si>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</si>
  <si>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</si>
  <si>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</si>
  <si>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</si>
  <si>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</si>
  <si>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</si>
  <si>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</si>
  <si>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</si>
  <si>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</si>
  <si>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</si>
  <si>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</si>
  <si>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</si>
  <si>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</si>
  <si>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</si>
  <si>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</si>
  <si>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</si>
  <si>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</si>
  <si>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</si>
  <si>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</si>
  <si>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</si>
  <si>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</si>
  <si>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</si>
  <si>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</si>
  <si>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</si>
  <si>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</si>
  <si>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</si>
  <si>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</si>
  <si>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</si>
  <si>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</si>
  <si>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</si>
  <si>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</si>
  <si>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</si>
  <si>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</si>
  <si>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</si>
  <si>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</si>
  <si>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</si>
  <si>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</si>
  <si>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</si>
  <si>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</si>
  <si>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</si>
  <si>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</si>
  <si>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</si>
  <si>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</si>
  <si>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</si>
  <si>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</si>
  <si>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</si>
  <si>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</si>
  <si>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</si>
  <si>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</si>
  <si>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</si>
  <si>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</si>
  <si>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</si>
  <si>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</si>
  <si>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</si>
  <si>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</si>
  <si>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</si>
  <si>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</si>
  <si>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</si>
  <si>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</si>
  <si>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</si>
  <si>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</si>
  <si>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</si>
  <si>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</si>
  <si>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</si>
  <si>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</si>
  <si>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</si>
  <si>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</si>
  <si>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</si>
  <si>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</si>
  <si>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</si>
  <si>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</si>
  <si>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</si>
  <si>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</si>
  <si>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</si>
  <si>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</si>
  <si>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</si>
  <si>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</si>
  <si>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</si>
  <si>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</si>
  <si>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</si>
  <si>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</si>
  <si>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</si>
  <si>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</si>
  <si>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</si>
  <si>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</si>
  <si>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</si>
  <si>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</si>
  <si>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</si>
  <si>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</si>
  <si>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</si>
  <si>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</si>
  <si>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</si>
  <si>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</si>
  <si>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</si>
  <si>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</si>
  <si>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</si>
  <si>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</si>
  <si>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</si>
  <si>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</si>
  <si>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</si>
  <si>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</si>
  <si>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</si>
  <si>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</si>
  <si>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</si>
  <si>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</si>
  <si>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</si>
  <si>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</si>
  <si>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</si>
  <si>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</si>
  <si>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</si>
  <si>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</si>
  <si>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</si>
  <si>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</si>
  <si>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</si>
  <si>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</si>
  <si>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</si>
  <si>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</si>
  <si>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</si>
  <si>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</si>
  <si>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</si>
  <si>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</si>
  <si>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</si>
  <si>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</si>
  <si>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</si>
  <si>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</si>
  <si>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</si>
  <si>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</si>
  <si>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</si>
  <si>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</si>
  <si>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</si>
  <si>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</si>
  <si>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</si>
  <si>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</si>
  <si>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</si>
  <si>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</si>
  <si>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</si>
  <si>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</si>
  <si>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</si>
  <si>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</si>
  <si>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</si>
  <si>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</si>
  <si>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</si>
  <si>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</si>
  <si>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</si>
  <si>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</si>
  <si>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</si>
  <si>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</si>
  <si>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</si>
  <si>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</si>
  <si>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</si>
  <si>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</si>
  <si>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</si>
  <si>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</si>
  <si>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</si>
  <si>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</si>
  <si>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</si>
  <si>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</si>
  <si>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</si>
  <si>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</si>
  <si>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</si>
  <si>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</si>
  <si>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</si>
  <si>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</si>
  <si>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</si>
  <si>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</si>
  <si>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</si>
  <si>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</si>
  <si>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</si>
  <si>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</si>
  <si>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</si>
  <si>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</si>
  <si>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</si>
  <si>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</si>
  <si>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</si>
  <si>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</si>
  <si>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</si>
  <si>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</si>
  <si>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</si>
  <si>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</si>
  <si>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</si>
  <si>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</si>
  <si>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</si>
  <si>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</si>
  <si>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</si>
  <si>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4.34</t>
  </si>
  <si>
    <t>4.35</t>
  </si>
  <si>
    <t>4.36</t>
  </si>
  <si>
    <t>4.37</t>
  </si>
  <si>
    <t>4.38</t>
  </si>
  <si>
    <t>4.39</t>
  </si>
  <si>
    <t>4.40</t>
  </si>
  <si>
    <t>4.41</t>
  </si>
  <si>
    <t>4.42</t>
  </si>
  <si>
    <t>4.43</t>
  </si>
  <si>
    <t>4.44</t>
  </si>
  <si>
    <t>4.45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</si>
  <si>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</si>
  <si>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</si>
  <si>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</si>
  <si>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</si>
  <si>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</si>
  <si>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</si>
  <si>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</si>
  <si>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</si>
  <si>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</si>
  <si>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</si>
  <si>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</si>
  <si>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</si>
  <si>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</si>
  <si>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</si>
  <si>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</si>
  <si>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</si>
  <si>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</si>
  <si>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</si>
  <si>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</si>
  <si>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</si>
  <si>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</si>
  <si>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</si>
  <si>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</si>
  <si>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</si>
  <si>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</si>
  <si>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</si>
  <si>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</si>
  <si>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</si>
  <si>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</si>
  <si>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</si>
  <si>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</si>
  <si>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</si>
  <si>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</si>
  <si>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</si>
  <si>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</si>
  <si>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</si>
  <si>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</si>
  <si>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</si>
  <si>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</si>
  <si>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</si>
  <si>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</si>
  <si>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</si>
  <si>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</si>
  <si>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</si>
  <si>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</si>
  <si>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</si>
  <si>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</si>
  <si>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</si>
  <si>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</si>
  <si>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</si>
  <si>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5.53</t>
  </si>
  <si>
    <t>5.54</t>
  </si>
  <si>
    <t>5.55</t>
  </si>
  <si>
    <t>5.56</t>
  </si>
  <si>
    <t>5.57</t>
  </si>
  <si>
    <t>5.58</t>
  </si>
  <si>
    <t>5.59</t>
  </si>
  <si>
    <t>5.60</t>
  </si>
  <si>
    <t>5.61</t>
  </si>
  <si>
    <t>5.62</t>
  </si>
  <si>
    <t>5.63</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</si>
  <si>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</si>
  <si>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</si>
  <si>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</si>
  <si>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</si>
  <si>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</si>
  <si>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</si>
  <si>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</si>
  <si>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</si>
  <si>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</si>
  <si>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</si>
  <si>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</si>
  <si>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</si>
  <si>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</si>
  <si>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</si>
  <si>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</si>
  <si>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</si>
  <si>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</si>
  <si>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</si>
  <si>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</si>
  <si>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</si>
  <si>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</si>
  <si>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</si>
  <si>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</si>
  <si>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</si>
  <si>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</si>
  <si>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</si>
  <si>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</si>
  <si>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</si>
  <si>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</si>
  <si>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</si>
  <si>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</si>
  <si>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</si>
  <si>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</si>
  <si>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</si>
  <si>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</si>
  <si>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</si>
  <si>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</si>
  <si>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</si>
  <si>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</si>
  <si>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</si>
  <si>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</si>
  <si>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</si>
  <si>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</si>
  <si>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</si>
  <si>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</si>
  <si>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</si>
  <si>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</si>
  <si>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</si>
  <si>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</si>
  <si>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</si>
  <si>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</si>
  <si>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</si>
  <si>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</si>
  <si>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</si>
  <si>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</si>
  <si>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</si>
  <si>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</si>
  <si>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</si>
  <si>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</si>
  <si>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</si>
  <si>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</si>
  <si>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</si>
  <si>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</si>
  <si>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</si>
  <si>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</si>
  <si>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</si>
  <si>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</si>
  <si>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</si>
  <si>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</si>
  <si>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</si>
  <si>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</si>
  <si>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</si>
  <si>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</si>
  <si>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</si>
  <si>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</si>
  <si>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</si>
  <si>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</si>
  <si>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</si>
  <si>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</si>
  <si>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</si>
  <si>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</si>
  <si>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</si>
  <si>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</si>
  <si>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</si>
  <si>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</si>
  <si>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</si>
  <si>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</si>
  <si>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</si>
  <si>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</si>
  <si>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</si>
  <si>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</si>
  <si>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</si>
  <si>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</si>
  <si>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</si>
  <si>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</si>
  <si>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</si>
  <si>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</si>
  <si>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</si>
  <si>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</si>
  <si>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</si>
  <si>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</si>
  <si>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</si>
  <si>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</si>
  <si>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</si>
  <si>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</si>
  <si>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</si>
  <si>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</si>
  <si>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</si>
  <si>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</si>
  <si>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</si>
  <si>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</si>
  <si>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</si>
  <si>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</si>
  <si>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</si>
  <si>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</si>
  <si>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</si>
  <si>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</si>
  <si>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</si>
  <si>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</si>
  <si>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</si>
  <si>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</si>
  <si>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</si>
  <si>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</si>
  <si>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</si>
  <si>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</si>
  <si>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</si>
  <si>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</si>
  <si>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</si>
  <si>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</si>
  <si>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</si>
  <si>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</si>
  <si>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</si>
  <si>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</si>
  <si>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</si>
  <si>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</si>
  <si>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</si>
  <si>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</si>
  <si>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</si>
  <si>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</si>
  <si>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</si>
  <si>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</si>
  <si>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</si>
  <si>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</si>
  <si>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</si>
  <si>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</si>
  <si>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</si>
  <si>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</si>
  <si>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</si>
  <si>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</si>
  <si>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</si>
  <si>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</si>
  <si>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</si>
  <si>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</si>
  <si>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</si>
  <si>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</si>
  <si>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</si>
  <si>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</si>
  <si>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</si>
  <si>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</si>
  <si>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</si>
  <si>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</si>
  <si>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</si>
  <si>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</si>
  <si>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</si>
  <si>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</si>
  <si>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</si>
  <si>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</si>
  <si>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</si>
  <si>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</si>
  <si>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</si>
  <si>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</si>
  <si>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</si>
  <si>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</si>
  <si>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</si>
  <si>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</si>
  <si>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</si>
  <si>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</si>
  <si>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</si>
  <si>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</si>
  <si>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</si>
  <si>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</si>
  <si>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</si>
  <si>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</si>
  <si>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</si>
  <si>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</si>
  <si>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</si>
  <si>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</si>
  <si>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</si>
  <si>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</si>
  <si>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</si>
  <si>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</si>
  <si>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</si>
  <si>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</si>
  <si>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</si>
  <si>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</si>
  <si>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</si>
  <si>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</si>
  <si>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</si>
  <si>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</si>
  <si>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</si>
  <si>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</si>
  <si>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</si>
  <si>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</si>
  <si>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</si>
  <si>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</si>
  <si>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</si>
  <si>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</si>
  <si>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</si>
  <si>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</si>
  <si>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</si>
  <si>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</si>
  <si>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</si>
  <si>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</si>
  <si>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</si>
  <si>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</si>
  <si>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</si>
  <si>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</si>
  <si>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</si>
  <si>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</si>
  <si>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</si>
  <si>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</si>
  <si>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9.1</t>
  </si>
  <si>
    <t>9.2</t>
  </si>
  <si>
    <t>9.3</t>
  </si>
  <si>
    <t>9.4</t>
  </si>
  <si>
    <t>9.5</t>
  </si>
  <si>
    <t>9.6</t>
  </si>
  <si>
    <t>9.7</t>
  </si>
  <si>
    <t>9.8</t>
  </si>
  <si>
    <t>9.9</t>
  </si>
  <si>
    <t>9.10</t>
  </si>
  <si>
    <t>9.11</t>
  </si>
  <si>
    <t>9.12</t>
  </si>
  <si>
    <t>9.13</t>
  </si>
  <si>
    <t>9.14</t>
  </si>
  <si>
    <t>9.19</t>
  </si>
  <si>
    <t>9.20</t>
  </si>
  <si>
    <t>9.21</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</si>
  <si>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</si>
  <si>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</si>
  <si>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</si>
  <si>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</si>
  <si>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</si>
  <si>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</si>
  <si>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</si>
  <si>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</si>
  <si>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</si>
  <si>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</si>
  <si>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</si>
  <si>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</si>
  <si>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</si>
  <si>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</si>
  <si>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</si>
  <si>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</si>
  <si>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</si>
  <si>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</si>
  <si>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</si>
  <si>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</si>
  <si>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</si>
  <si>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</si>
  <si>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</si>
  <si>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</si>
  <si>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</si>
  <si>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</si>
  <si>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</si>
  <si>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</si>
  <si>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</si>
  <si>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</si>
  <si>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</si>
  <si>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</si>
  <si>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</si>
  <si>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</si>
  <si>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</si>
  <si>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</si>
  <si>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</si>
  <si>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</si>
  <si>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</si>
  <si>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</si>
  <si>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</si>
  <si>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</si>
  <si>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</si>
  <si>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</si>
  <si>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</si>
  <si>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</si>
  <si>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</si>
  <si>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</si>
  <si>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</si>
  <si>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</si>
  <si>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</si>
  <si>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</si>
  <si>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</si>
  <si>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</si>
  <si>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</si>
  <si>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</si>
  <si>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</si>
  <si>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</si>
  <si>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</si>
  <si>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</si>
  <si>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</si>
  <si>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</si>
  <si>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</si>
  <si>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</si>
  <si>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</si>
  <si>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</si>
  <si>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</si>
  <si>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</si>
  <si>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</si>
  <si>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</si>
  <si>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</si>
  <si>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</si>
  <si>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</si>
  <si>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</si>
  <si>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</si>
  <si>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</si>
  <si>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</si>
  <si>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</si>
  <si>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</si>
  <si>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</si>
  <si>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</si>
  <si>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</si>
  <si>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</si>
  <si>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</si>
  <si>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</si>
  <si>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</si>
  <si>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</si>
  <si>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</si>
  <si>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</si>
  <si>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</si>
  <si>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</si>
  <si>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</si>
  <si>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</si>
  <si>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</si>
  <si>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</si>
  <si>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</si>
  <si>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</si>
  <si>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</si>
  <si>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</si>
  <si>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</si>
  <si>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</si>
  <si>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</si>
  <si>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</si>
  <si>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</si>
  <si>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</si>
  <si>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</si>
  <si>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</si>
  <si>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</si>
  <si>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</si>
  <si>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</si>
  <si>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</si>
  <si>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</si>
  <si>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</si>
  <si>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</si>
  <si>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</si>
  <si>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</si>
  <si>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</si>
  <si>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</si>
  <si>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</si>
  <si>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</si>
  <si>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</si>
  <si>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</si>
  <si>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</si>
  <si>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</si>
  <si>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</si>
  <si>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</si>
  <si>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</si>
  <si>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</si>
  <si>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</si>
  <si>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</si>
  <si>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</si>
  <si>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</si>
  <si>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</si>
  <si>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</si>
  <si>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</si>
  <si>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</si>
  <si>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</si>
  <si>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</si>
  <si>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</si>
  <si>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</si>
  <si>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</si>
  <si>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</si>
  <si>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</si>
  <si>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</si>
  <si>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</si>
  <si>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</si>
  <si>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</si>
  <si>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</si>
  <si>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</si>
  <si>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</si>
  <si>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</si>
  <si>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</si>
  <si>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</si>
  <si>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</si>
  <si>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</si>
  <si>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</si>
  <si>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</si>
  <si>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</si>
  <si>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</si>
  <si>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</si>
  <si>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</si>
  <si>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</si>
  <si>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</si>
  <si>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</si>
  <si>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</si>
  <si>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</si>
  <si>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</si>
  <si>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</si>
  <si>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</si>
  <si>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</si>
  <si>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</si>
  <si>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</si>
  <si>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</si>
  <si>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</si>
  <si>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</si>
  <si>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</si>
  <si>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</si>
  <si>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</si>
  <si>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</si>
  <si>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10.180</t>
  </si>
  <si>
    <t>10.181</t>
  </si>
  <si>
    <t>10.182</t>
  </si>
  <si>
    <t>10.183</t>
  </si>
  <si>
    <t>10.184</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</si>
  <si>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</si>
  <si>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</si>
  <si>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</si>
  <si>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</si>
  <si>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</si>
  <si>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</si>
  <si>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</si>
  <si>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</si>
  <si>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</si>
  <si>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</si>
  <si>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</si>
  <si>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</si>
  <si>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</si>
  <si>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</si>
  <si>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</si>
  <si>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</si>
  <si>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</si>
  <si>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</si>
  <si>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</si>
  <si>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</si>
  <si>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</si>
  <si>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</si>
  <si>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</si>
  <si>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</si>
  <si>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</si>
  <si>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</si>
  <si>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</si>
  <si>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</si>
  <si>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</si>
  <si>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</si>
  <si>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</si>
  <si>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</si>
  <si>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</si>
  <si>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</si>
  <si>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</si>
  <si>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</si>
  <si>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</si>
  <si>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</si>
  <si>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</si>
  <si>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</si>
  <si>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</si>
  <si>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</si>
  <si>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</si>
  <si>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</si>
  <si>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</si>
  <si>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</si>
  <si>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</si>
  <si>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</si>
  <si>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</si>
  <si>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</si>
  <si>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</si>
  <si>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</si>
  <si>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</si>
  <si>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</si>
  <si>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</si>
  <si>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</si>
  <si>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</si>
  <si>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</si>
  <si>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</si>
  <si>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</si>
  <si>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</si>
  <si>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</si>
  <si>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</si>
  <si>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</si>
  <si>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</si>
  <si>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</si>
  <si>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</si>
  <si>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</si>
  <si>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</si>
  <si>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</si>
  <si>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</si>
  <si>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</si>
  <si>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</si>
  <si>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</si>
  <si>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</si>
  <si>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</si>
  <si>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</si>
  <si>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</si>
  <si>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</si>
  <si>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</si>
  <si>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</si>
  <si>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</si>
  <si>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</si>
  <si>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</si>
  <si>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</si>
  <si>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</si>
  <si>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</si>
  <si>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</si>
  <si>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</si>
  <si>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</si>
  <si>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</si>
  <si>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</si>
  <si>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</si>
  <si>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</si>
  <si>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</si>
  <si>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</si>
  <si>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</si>
  <si>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</si>
  <si>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</si>
  <si>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</si>
  <si>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12.37</t>
  </si>
  <si>
    <t>12.38</t>
  </si>
  <si>
    <t>12.39</t>
  </si>
  <si>
    <t>12.40</t>
  </si>
  <si>
    <t>12.41</t>
  </si>
  <si>
    <t>12.42</t>
  </si>
  <si>
    <t>12.43</t>
  </si>
  <si>
    <t>12.44</t>
  </si>
  <si>
    <t>12.45</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</si>
  <si>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</si>
  <si>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</si>
  <si>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</si>
  <si>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</si>
  <si>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</si>
  <si>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</si>
  <si>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</si>
  <si>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</si>
  <si>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</si>
  <si>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</si>
  <si>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</si>
  <si>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</si>
  <si>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</si>
  <si>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</si>
  <si>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</si>
  <si>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</si>
  <si>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</si>
  <si>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</si>
  <si>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</si>
  <si>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</si>
  <si>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</si>
  <si>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</si>
  <si>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</si>
  <si>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</si>
  <si>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</si>
  <si>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</si>
  <si>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</si>
  <si>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</si>
  <si>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</si>
  <si>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</si>
  <si>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</si>
  <si>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</si>
  <si>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</si>
  <si>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</si>
  <si>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</si>
  <si>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</si>
  <si>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</si>
  <si>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</si>
  <si>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</si>
  <si>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</si>
  <si>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</si>
  <si>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</si>
  <si>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</si>
  <si>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</si>
  <si>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</si>
  <si>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</si>
  <si>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</si>
  <si>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</si>
  <si>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</si>
  <si>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</si>
  <si>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</si>
  <si>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</si>
  <si>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12.100</t>
  </si>
  <si>
    <t>12.101</t>
  </si>
  <si>
    <t>12.102</t>
  </si>
  <si>
    <t>12.103</t>
  </si>
  <si>
    <t>12.104</t>
  </si>
  <si>
    <t>12.105</t>
  </si>
  <si>
    <t>12.106</t>
  </si>
  <si>
    <t>12.107</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</si>
  <si>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</si>
  <si>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</si>
  <si>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</si>
  <si>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</si>
  <si>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</si>
  <si>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</si>
  <si>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</si>
  <si>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</si>
  <si>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</si>
  <si>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</si>
  <si>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</si>
  <si>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</si>
  <si>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</si>
  <si>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</si>
  <si>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</si>
  <si>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</si>
  <si>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</si>
  <si>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</si>
  <si>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</si>
  <si>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</si>
  <si>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</si>
  <si>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</si>
  <si>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</si>
  <si>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</si>
  <si>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</si>
  <si>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</si>
  <si>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</si>
  <si>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</si>
  <si>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</si>
  <si>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</si>
  <si>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</si>
  <si>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</si>
  <si>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</si>
  <si>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SA1</t>
  </si>
  <si>
    <t>SA2</t>
  </si>
  <si>
    <t>SA3</t>
  </si>
  <si>
    <t>SA4</t>
  </si>
  <si>
    <t>SA5</t>
  </si>
  <si>
    <t>SA6</t>
  </si>
  <si>
    <t>SA7</t>
  </si>
  <si>
    <t>SA8</t>
  </si>
  <si>
    <t>SA9</t>
  </si>
  <si>
    <t>SA10</t>
  </si>
  <si>
    <t>SA11</t>
  </si>
  <si>
    <t>SA12</t>
  </si>
  <si>
    <t>SA13</t>
  </si>
  <si>
    <t>SA14</t>
  </si>
  <si>
    <t>SA15</t>
  </si>
  <si>
    <t>SA16</t>
  </si>
  <si>
    <t>SA17</t>
  </si>
  <si>
    <t>SA18</t>
  </si>
  <si>
    <t>SA19</t>
  </si>
  <si>
    <t>SA20</t>
  </si>
  <si>
    <t>SA21</t>
  </si>
  <si>
    <t>SA22</t>
  </si>
  <si>
    <t>SA23</t>
  </si>
  <si>
    <t>SA24</t>
  </si>
  <si>
    <t>SA25</t>
  </si>
  <si>
    <t>SA26</t>
  </si>
  <si>
    <t>SA27</t>
  </si>
  <si>
    <t>SA28</t>
  </si>
  <si>
    <t>PCR IN PLACE</t>
  </si>
  <si>
    <t>SLIPTA</t>
  </si>
  <si>
    <t>WHO LQSI</t>
  </si>
  <si>
    <t>Other Program</t>
  </si>
  <si>
    <t>RF1</t>
  </si>
  <si>
    <t>No</t>
  </si>
  <si>
    <t>Facility</t>
  </si>
  <si>
    <t>RF2</t>
  </si>
  <si>
    <t>RF3</t>
  </si>
  <si>
    <t>LIS</t>
  </si>
  <si>
    <t>RF4</t>
  </si>
  <si>
    <t>RF5</t>
  </si>
  <si>
    <t>Data Mgmt</t>
  </si>
  <si>
    <t>RF6</t>
  </si>
  <si>
    <t>RF7</t>
  </si>
  <si>
    <t>RF8</t>
  </si>
  <si>
    <t>3 or 4</t>
  </si>
  <si>
    <t>RF9</t>
  </si>
  <si>
    <t>Yes</t>
  </si>
  <si>
    <t>QA</t>
  </si>
  <si>
    <t>RF10</t>
  </si>
  <si>
    <t>RF11</t>
  </si>
  <si>
    <t>RF12</t>
  </si>
  <si>
    <t>RF13</t>
  </si>
  <si>
    <t>RF14</t>
  </si>
  <si>
    <t>RF15</t>
  </si>
  <si>
    <t>RF16</t>
  </si>
  <si>
    <t>RF17</t>
  </si>
  <si>
    <t>Specimen</t>
  </si>
  <si>
    <t>RF18</t>
  </si>
  <si>
    <t>RF19</t>
  </si>
  <si>
    <t>RF20</t>
  </si>
  <si>
    <t>RF21</t>
  </si>
  <si>
    <t>Processing</t>
  </si>
  <si>
    <t>RF22</t>
  </si>
  <si>
    <t>RF23</t>
  </si>
  <si>
    <t>RF24</t>
  </si>
  <si>
    <t>RF25</t>
  </si>
  <si>
    <t>RF26</t>
  </si>
  <si>
    <t>9.29</t>
  </si>
  <si>
    <t>RF27</t>
  </si>
  <si>
    <t>2 or 3</t>
  </si>
  <si>
    <t>Identification</t>
  </si>
  <si>
    <t>RF28</t>
  </si>
  <si>
    <t>RF29</t>
  </si>
  <si>
    <t>RF30</t>
  </si>
  <si>
    <t>RF31</t>
  </si>
  <si>
    <t>RF32</t>
  </si>
  <si>
    <t>Basic AST</t>
  </si>
  <si>
    <t>RF33</t>
  </si>
  <si>
    <t>RF34</t>
  </si>
  <si>
    <t>RF35</t>
  </si>
  <si>
    <t>RF36</t>
  </si>
  <si>
    <t>RF37</t>
  </si>
  <si>
    <t>RF38</t>
  </si>
  <si>
    <t>AST Expert</t>
  </si>
  <si>
    <t>RF39</t>
  </si>
  <si>
    <t>RF40</t>
  </si>
  <si>
    <t>RF41</t>
  </si>
  <si>
    <t>RF42</t>
  </si>
  <si>
    <t>RF43</t>
  </si>
  <si>
    <t>RF44</t>
  </si>
  <si>
    <t>RF45</t>
  </si>
  <si>
    <t>RF46</t>
  </si>
  <si>
    <t>12.35</t>
  </si>
  <si>
    <t>RF47</t>
  </si>
  <si>
    <t>RF48</t>
  </si>
  <si>
    <t>RF49</t>
  </si>
  <si>
    <t>RF50</t>
  </si>
  <si>
    <t>RF51</t>
  </si>
  <si>
    <t>RF52</t>
  </si>
  <si>
    <t>RF53</t>
  </si>
  <si>
    <t>RF54</t>
  </si>
  <si>
    <t>RF55</t>
  </si>
  <si>
    <t>RF56</t>
  </si>
  <si>
    <t>RF57</t>
  </si>
  <si>
    <t>RF58</t>
  </si>
  <si>
    <t>RF59</t>
  </si>
  <si>
    <t>RF60</t>
  </si>
  <si>
    <t>RF61</t>
  </si>
  <si>
    <t>RF62</t>
  </si>
  <si>
    <t>RF63</t>
  </si>
  <si>
    <t>RF64</t>
  </si>
  <si>
    <t>RF65</t>
  </si>
  <si>
    <t>RF66</t>
  </si>
  <si>
    <t>RF67</t>
  </si>
  <si>
    <t>RF68</t>
  </si>
  <si>
    <t>RF69</t>
  </si>
  <si>
    <t>RF70</t>
  </si>
  <si>
    <t>RF71</t>
  </si>
  <si>
    <t>RF72</t>
  </si>
  <si>
    <t>RF73</t>
  </si>
  <si>
    <t>RF74</t>
  </si>
  <si>
    <t>RF75</t>
  </si>
  <si>
    <t>RF76</t>
  </si>
  <si>
    <t>RF77</t>
  </si>
  <si>
    <t>AST Policy</t>
  </si>
  <si>
    <t>RF78</t>
  </si>
  <si>
    <t>Safety</t>
  </si>
  <si>
    <t>RF79</t>
  </si>
  <si>
    <t>RF80</t>
  </si>
  <si>
    <t>RF81</t>
  </si>
  <si>
    <t>RF82</t>
  </si>
  <si>
    <t>RF83</t>
  </si>
  <si>
    <t>RF84</t>
  </si>
  <si>
    <t>RF85</t>
  </si>
  <si>
    <t>RF86</t>
  </si>
  <si>
    <t>RF87</t>
  </si>
  <si>
    <t>RF88</t>
  </si>
  <si>
    <t>RF89</t>
  </si>
  <si>
    <t>RF90</t>
  </si>
  <si>
    <t>RF91</t>
  </si>
  <si>
    <t>RF92</t>
  </si>
  <si>
    <t>RF93</t>
  </si>
  <si>
    <t>RF94</t>
  </si>
  <si>
    <t>RF95</t>
  </si>
  <si>
    <t>RF96</t>
  </si>
  <si>
    <t>RF97</t>
  </si>
  <si>
    <t>RF98</t>
  </si>
  <si>
    <t>RF99</t>
  </si>
  <si>
    <t>RF100</t>
  </si>
  <si>
    <t>RF101</t>
  </si>
  <si>
    <t>TF1</t>
  </si>
  <si>
    <t>TF2</t>
  </si>
  <si>
    <t>TF3</t>
  </si>
  <si>
    <t>TF4</t>
  </si>
  <si>
    <t>TF5</t>
  </si>
  <si>
    <t>TF6</t>
  </si>
  <si>
    <t>TF7</t>
  </si>
  <si>
    <t>TF8</t>
  </si>
  <si>
    <t>TF9</t>
  </si>
  <si>
    <t>TF10</t>
  </si>
  <si>
    <t>SF1</t>
  </si>
  <si>
    <t>SF2</t>
  </si>
  <si>
    <t>SF3</t>
  </si>
  <si>
    <t>SF4</t>
  </si>
  <si>
    <t>SF5</t>
  </si>
  <si>
    <t>SF6</t>
  </si>
  <si>
    <t>SF7</t>
  </si>
  <si>
    <t>SF8</t>
  </si>
  <si>
    <t>SF9</t>
  </si>
  <si>
    <t>SF10</t>
  </si>
  <si>
    <t>SF11</t>
  </si>
  <si>
    <t>SF12</t>
  </si>
  <si>
    <t>SF13</t>
  </si>
  <si>
    <t>SF14</t>
  </si>
  <si>
    <t>SF15</t>
  </si>
  <si>
    <t>4.31</t>
  </si>
  <si>
    <t>SF16</t>
  </si>
  <si>
    <t>SF17</t>
  </si>
  <si>
    <t>SF18</t>
  </si>
  <si>
    <t>SF19</t>
  </si>
  <si>
    <t>SF20</t>
  </si>
  <si>
    <t>SF21</t>
  </si>
  <si>
    <t>SF22</t>
  </si>
  <si>
    <t>SF23</t>
  </si>
  <si>
    <t>SF24</t>
  </si>
  <si>
    <t>General information</t>
  </si>
  <si>
    <t>Manual AST in use</t>
  </si>
  <si>
    <t>Autom. AST in use</t>
  </si>
  <si>
    <t>Organisms/Chromagar</t>
  </si>
  <si>
    <t>Genes/PCR</t>
  </si>
  <si>
    <t>QMS Mentoring pgm</t>
  </si>
  <si>
    <t>Accreditation/Certification</t>
  </si>
  <si>
    <t>Biochemical identification QC score</t>
  </si>
  <si>
    <t>Biochemical identification SOP score</t>
  </si>
  <si>
    <t>Media Prep equipment</t>
  </si>
  <si>
    <t>Autom. Instruments</t>
  </si>
  <si>
    <t>FLAG #</t>
  </si>
  <si>
    <t>GI</t>
  </si>
  <si>
    <t>Section Scores/Performance Heatmap</t>
  </si>
  <si>
    <t>laboratory facility</t>
  </si>
  <si>
    <t>Data management</t>
  </si>
  <si>
    <t>Quality assurance</t>
  </si>
  <si>
    <t>Media QC</t>
  </si>
  <si>
    <t>Specimen collection</t>
  </si>
  <si>
    <t>Expert rules</t>
  </si>
  <si>
    <t>AST panels/policy</t>
  </si>
  <si>
    <t>Biosafety</t>
  </si>
  <si>
    <t>Red Flag</t>
  </si>
  <si>
    <t>Training opportunities</t>
  </si>
  <si>
    <t>System flag</t>
  </si>
  <si>
    <t>1- Facility questions</t>
  </si>
  <si>
    <t>2- LIS questions</t>
  </si>
  <si>
    <t>5- Media questions</t>
  </si>
  <si>
    <t>6-ID_Q</t>
  </si>
  <si>
    <t>9-Proc-Q</t>
  </si>
  <si>
    <t>10-Identification questions</t>
  </si>
  <si>
    <t>11- Basic AST questions</t>
  </si>
  <si>
    <t>12-AST expert rules questions</t>
  </si>
  <si>
    <t>13-ASTP Q</t>
  </si>
  <si>
    <t>Full name</t>
  </si>
  <si>
    <t>Assessor 1 (last name and affiliation)</t>
  </si>
  <si>
    <t>Assessor 2 (last name and affiliation)</t>
  </si>
  <si>
    <t>Assessor 3 (last name and affiliation)</t>
  </si>
  <si>
    <t>Altitude</t>
  </si>
  <si>
    <t>Latitude</t>
  </si>
  <si>
    <t>Longitude</t>
  </si>
  <si>
    <t>Primary Laboratory funding sources</t>
  </si>
  <si>
    <t>Laboratory/Facility Level</t>
  </si>
  <si>
    <t>Service level of the Facility</t>
  </si>
  <si>
    <t>Number of beds of the Facility</t>
  </si>
  <si>
    <t>Lab enrolled in the SLIPTA program?</t>
  </si>
  <si>
    <t>Most recent certification awarded?</t>
  </si>
  <si>
    <t>what star level of the latest SLIPTA audit?</t>
  </si>
  <si>
    <t>Lab enrolled in the WHO LQSI program?</t>
  </si>
  <si>
    <t>Overall % score for the 4 phases?</t>
  </si>
  <si>
    <t>Other mentoring program?</t>
  </si>
  <si>
    <t>Other such as Gram staining?</t>
  </si>
  <si>
    <t>Accreditation/certification body</t>
  </si>
  <si>
    <t>Yersinia enterocolitic</t>
  </si>
  <si>
    <t>Enterohemorrhagic/Enterotoxic E.coli (e.g., O157:H7)</t>
  </si>
  <si>
    <t>ID/AST of isolates referred from other labs</t>
  </si>
  <si>
    <t>PG Master's degree in Microbiology or Med. Lab. Sciences</t>
  </si>
  <si>
    <t>UG Certificate/Diploma in Microbiology or Med. Lab. Sciences</t>
  </si>
  <si>
    <t>GENERAL INDICATOR</t>
  </si>
  <si>
    <t>LAB INFORMATION SYSTEM (Excluded from overall score)</t>
  </si>
  <si>
    <t>WORK CARD DATA FIELDS</t>
  </si>
  <si>
    <t>Is catalase testing performed prior to coagulase testing on suspected Staph isolates?</t>
  </si>
  <si>
    <t>Look at the cefotaxime disks currently in use. Does the drug concentration correspond correctly to the standard the lab uses? (CLSI breakpoints require 30ug disks, EUCAST breakpoints require 5ug disks).</t>
  </si>
  <si>
    <t>Look at the ceftazidime disks currently in use. Does the drug concentration correspond correctly to the standard in use? (CLSI breakpoints require 30ug disks, EUCAST breakpoints require 10ug)</t>
  </si>
  <si>
    <t>Look at the piperacillin-tazobactam disks currently in use. Does the drug concentration correspond correctly to the standard in use? (CLSI breakpoints require 100/10ug disks, EUCAST breakpoints require 30/6ug disks).</t>
  </si>
  <si>
    <t>1st generation cephalosporins (cefazolin, cephalothin, cephapririn, cephadrine)</t>
  </si>
  <si>
    <t>Does the lab use the correct fluoroquinolone (FQ) breakpoints for Salmonella spp? (Enterobacteriaceae FQ breakpoints should not be used for Salmonella spp).</t>
  </si>
  <si>
    <t>Labs that do NOT use current aztreonam and cephalosporin breakpoints should attach a warning comment to the report for ESBL positive organisms: “ESBL-producers should be considered clinically resistant to all penicillins, cephalosporins, and aztreonam.” Is this practice in place?</t>
  </si>
  <si>
    <t>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t>
  </si>
  <si>
    <t>Does the lab perform Staph aureus AST on any beta-lactam antibiotics other than penicillin, oxacillin, cefoxitin, or ceftaroline?</t>
  </si>
  <si>
    <t>Are Staph aureus that are resistant to Erythromycin and susceptible or intermediate to Clindamycin tested for inducible clindamycin resistance?</t>
  </si>
  <si>
    <t>Are S.pneumoniae that are resistant to Erythromycin and susceptible or intermediate to Clindamycin tested for inducible clindamycin resistance?</t>
  </si>
  <si>
    <t>Goggles</t>
  </si>
  <si>
    <t>Aerosol face protection (mask, face shield, or splatter guard)</t>
  </si>
  <si>
    <t xml:space="preserve">Is there documentation showing that the the Supervisor/Quality Officer received training on how to effectively troubleshoot QC failures? </t>
  </si>
  <si>
    <t>Is there evidence that microbiology staff have received adequate training to recognize intrinsic resistance patterns?    (1: Yes - 2: Some, but would like additional training - 3: No)</t>
  </si>
  <si>
    <t>Is there evidence that microbiology staff have received adequate training to recognize unusual or unexpected AST results that might require investigation? (e.g. Klebsiella spp. S to ampicillin; Staph spp. I/R to vancomycin)</t>
  </si>
  <si>
    <t>Is there evidence that the supervisor recieved appropriate training on how to recognize unusual AST findings?</t>
  </si>
  <si>
    <t>Do laboratory staff understand the current limitations associated with colistin AST? (i.e., the risk of false susceptible results when using disk diffusion, gradient strip, or automated method?)</t>
  </si>
  <si>
    <t>Is the lab sufficiently staffed to provide high quality services? (Including support staff.)</t>
  </si>
  <si>
    <t xml:space="preserve">How many times per year does the lab currently receive EQA/PT challenges that include both bacterial identification &amp; AST? (Please do not include challenges designed to focus on a single organism, e.g., TB or N.gonorrhoeae) </t>
  </si>
  <si>
    <t>Does lab policy primarily determine which isolates recieve AST, or is AST performed only when it is specifically requested by the doctor?</t>
  </si>
  <si>
    <t>If the hospital has an Antibiotic Stewardship Committee, is a microbiolgist a member?</t>
  </si>
  <si>
    <t>If the hospital has a Pharmacy and Therapeutics Committee, is a microbiolgist a member?</t>
  </si>
  <si>
    <t>Does the lab have an automated instrument for reading disk diffusion? (e.g. SIRSCAN, BIOMIC V3, ADAGIO, etc.)</t>
  </si>
  <si>
    <t>Patient Gender</t>
  </si>
  <si>
    <t>Specimen Source/Body Site (e.g. Arm)</t>
  </si>
  <si>
    <t>Type of bacterial cells (gram positive cocci, gram negative bacilli, etc.)</t>
  </si>
  <si>
    <t>Description of colony morphologies (e.g. "mucoid lactose fermenter" or "beta-hemolytic")</t>
  </si>
  <si>
    <t>Can the LIS record MIC values to three decimal places (e.g. 0.016)?</t>
  </si>
  <si>
    <t xml:space="preserve">Do QC records for blood agar plates demonstrate that they are checked for their ability to support growth of fastidious organisms such as Streptococcus pneumoniae? </t>
  </si>
  <si>
    <t xml:space="preserve">Do QC records for blood agar plates demonstrate that they are checked for their ability to show beta, alpha, and gamma hemolysis? </t>
  </si>
  <si>
    <t>Do QC records for chocolate agar plates demonstrate that they are checked for their ability to support the growth of fastidious organisms, such as Neisseria gonorrhoeae or H.influenzae?</t>
  </si>
  <si>
    <t>MacConkey (MAC) and Eosin methylene blue (EMB) agars contain bile salts and/or dyes that are toxic for Gram positive bacteria when made properly. Do QC records for MAC and/or EMB plates demonstrate that each batch/lot is challenged using a Gram positive organism?</t>
  </si>
  <si>
    <t>Dyes and pH indicators in MAC and EMB plates provide a color indicator to distinguish between lactose fermenting (LF) and non-lactose fermenting (NLF) Gram negative organisms. Do QC records for MAC and/or EMB plates demonstrate that each batch/lot is challenged using both LF and NLF organisms?</t>
  </si>
  <si>
    <t>Do QC records for selective stool agar plates demonstrate that they are checked for their ability to make H2S (hydrogen sulfide) production visible using an H2S producing organism, such as Salmonella spp or Proteus vulgaris?</t>
  </si>
  <si>
    <t>Is this reagent in use in your lab? (If No, select N/A for the remaining questions about this reagent)</t>
  </si>
  <si>
    <t>Is this test in use in your lab? (If No, select N/A for the remaining questions about this reagent)</t>
  </si>
  <si>
    <t>Is it standard practice to perform a gram stain on each isolate of interest prior to performing any other testing?</t>
  </si>
  <si>
    <t>For gram negative bacilli, is it standard practice to perform an oxidase test first, before proceeding with any other identification tests (including automated ID)?</t>
  </si>
  <si>
    <t>For gram negative bacilli, is it standard practice to perform an indole test second, before proceeding with other identification tests (including automated ID)?</t>
  </si>
  <si>
    <t>For oxidase-negative gram negative bacilli that do not ferment lactose (clear on MacConkey), are sufficient tests available to achieve a definitive identification?</t>
  </si>
  <si>
    <t>For oxidase-positive gram negative bacilli that are not Pseudomonas aeruginosa (lack the characteristic odor), are sufficient tests available to achieve a definitive identification?</t>
  </si>
  <si>
    <t>For gram positive cocci, is it standard practice to perform a catalase test first, before proceeding with any other identification tests (including automated ID)?</t>
  </si>
  <si>
    <t>For catalase positive gram positive cocci, is it standard practice to perform a coagulase test next, before proceeding with other identification tests (including automated ID)?</t>
  </si>
  <si>
    <t>For catalase negative gram positive cocci, is it standard practice to evaluate the type of hemolysis (alpha, beta, gamma), before proceeding with other identification tests (including automated ID)?</t>
  </si>
  <si>
    <t xml:space="preserve">If desiccants do not have a color indicator, are colorless desiccants replaced least monthly? </t>
  </si>
  <si>
    <t>Does the lab review important standards changes, eg. breakpoint changes, with the relevant hospital committees (e.g. pharmacy and therapeutics, stewardship)?</t>
  </si>
  <si>
    <t>Does the lab perform any genotypic tests for ESBL production? (E.g. PCR)</t>
  </si>
  <si>
    <t>Do records indicate that lab uses both positive and negative control organisms to QC the ESBL test in use? (A commonly used ESBL positive strain is Klebsiella pneumoniae ATCC 700603)</t>
  </si>
  <si>
    <t>Biochemical (colorimetric) test, e.g. CarbaNP, BCT, or β CARBA</t>
  </si>
  <si>
    <t>Does the lab perform any genotypic tests for carbapenemase production? (E.g. PCR, GeneXpert, etc.)</t>
  </si>
  <si>
    <t>Does the lab perform colistin AST?</t>
  </si>
  <si>
    <t>Do records indicate that lab uses both susceptible and resistant organisms to QC the colistin test in use? (E.coli NCTC 13846 is recommended to detect low level resistance)</t>
  </si>
  <si>
    <t xml:space="preserve">Does the lab test Staph aureusisolates against penicillin? </t>
  </si>
  <si>
    <t>Are Staph aureus isolates with penicillin zones sizes or MICs in the susceptible range tested for β-lactamase production using the zone-edge test before being reported as penicillin susceptible?</t>
  </si>
  <si>
    <t>When a vancomycin MIC &gt;8 is detected for Staph aureus, is the isolate sent to a referral lab for confirmation testing and further characterization?</t>
  </si>
  <si>
    <t xml:space="preserve">When S.pneumoniae is isolated from CSF, are penicillin, ceftriaxone, and/or cefotaxime reported using the meningitis breakpoints only? </t>
  </si>
  <si>
    <t xml:space="preserve">When S.pneumoniae is isolated from specimens other than CSF, are penicillin, ceftriaxone, and/or cefotaxime reported using both meningitis and non-meningitis breakpoints? </t>
  </si>
  <si>
    <t xml:space="preserve">Does the lab perform the test for Inducible Clindamycin Resistance (ICR), also known as the “D-test” on Staph aureusand/or Strep pneumoniae? </t>
  </si>
  <si>
    <t>Does the SOP for the ICR test specify that the erythromycin and clindamycin disks must be placed 15-26 mm apart for Staph species?</t>
  </si>
  <si>
    <t>Does the SOP for the ICR test specify that the erythromycin and clindamycin disks must be placed 12 mm apart for Strep species?</t>
  </si>
  <si>
    <t>Do records indicate that lab uses both positive and negative control organisms to QC the ICR test in use? (Commonly used ICR positive strain is S.aureus ATCC BAA-977)</t>
  </si>
  <si>
    <t>Code</t>
  </si>
  <si>
    <t>Name</t>
  </si>
  <si>
    <t>ADD</t>
  </si>
  <si>
    <t>PROV</t>
  </si>
  <si>
    <t>DIS</t>
  </si>
  <si>
    <t>ASS1</t>
  </si>
  <si>
    <t>ASS2</t>
  </si>
  <si>
    <t>ASS3</t>
  </si>
  <si>
    <t>Date</t>
  </si>
  <si>
    <t>Z</t>
  </si>
  <si>
    <t>Y</t>
  </si>
  <si>
    <t>X</t>
  </si>
  <si>
    <t>Fund</t>
  </si>
  <si>
    <t>type</t>
  </si>
  <si>
    <t>level</t>
  </si>
  <si>
    <t>Slev</t>
  </si>
  <si>
    <t>Beds</t>
  </si>
  <si>
    <t>DD</t>
  </si>
  <si>
    <t>Grad</t>
  </si>
  <si>
    <t>bmicro</t>
  </si>
  <si>
    <t>bmacro</t>
  </si>
  <si>
    <t>AgarD</t>
  </si>
  <si>
    <t>Vit</t>
  </si>
  <si>
    <t>Pho</t>
  </si>
  <si>
    <t>Mic</t>
  </si>
  <si>
    <t>Other</t>
  </si>
  <si>
    <t>OESBL</t>
  </si>
  <si>
    <t>OCRE</t>
  </si>
  <si>
    <t>OMRSA</t>
  </si>
  <si>
    <t>OVRE</t>
  </si>
  <si>
    <t>OCOLI</t>
  </si>
  <si>
    <t>OOTH</t>
  </si>
  <si>
    <t>GESBL</t>
  </si>
  <si>
    <t>GCARBA</t>
  </si>
  <si>
    <t>GMECA</t>
  </si>
  <si>
    <t>GVAN</t>
  </si>
  <si>
    <t>GMRC</t>
  </si>
  <si>
    <t>GOTH</t>
  </si>
  <si>
    <t>SLIP</t>
  </si>
  <si>
    <t>DSLIP</t>
  </si>
  <si>
    <t>SSLIP</t>
  </si>
  <si>
    <t>LQSI</t>
  </si>
  <si>
    <t>LQSIP</t>
  </si>
  <si>
    <t>OMENT</t>
  </si>
  <si>
    <t>ABLOOD</t>
  </si>
  <si>
    <t>ASTOL</t>
  </si>
  <si>
    <t>AURINE</t>
  </si>
  <si>
    <t>AORGA</t>
  </si>
  <si>
    <t>AAST</t>
  </si>
  <si>
    <t>AOTH</t>
  </si>
  <si>
    <t>BODY</t>
  </si>
  <si>
    <t>WLBLOOD</t>
  </si>
  <si>
    <t>WLURIN</t>
  </si>
  <si>
    <t>WLSTOOL</t>
  </si>
  <si>
    <t>WLSS</t>
  </si>
  <si>
    <t>WLVC</t>
  </si>
  <si>
    <t>WLYE</t>
  </si>
  <si>
    <t>WLCJ</t>
  </si>
  <si>
    <t>WLO157</t>
  </si>
  <si>
    <t>WLRESPI</t>
  </si>
  <si>
    <t>WLWOUND</t>
  </si>
  <si>
    <t>WLCSF</t>
  </si>
  <si>
    <t>WLBF</t>
  </si>
  <si>
    <t>WFGENIT</t>
  </si>
  <si>
    <t>WLANAERO</t>
  </si>
  <si>
    <t>WLYEAST</t>
  </si>
  <si>
    <t>WLMOLD</t>
  </si>
  <si>
    <t>WLMRSA</t>
  </si>
  <si>
    <t>WLVRE</t>
  </si>
  <si>
    <t>WLCRE</t>
  </si>
  <si>
    <t>WLREFER</t>
  </si>
  <si>
    <t>WLOTH</t>
  </si>
  <si>
    <t>GS</t>
  </si>
  <si>
    <t>BMIC</t>
  </si>
  <si>
    <t>BMAC</t>
  </si>
  <si>
    <t>AGAD</t>
  </si>
  <si>
    <t>BIQC1</t>
  </si>
  <si>
    <t>BIQC2</t>
  </si>
  <si>
    <t>BIQC3</t>
  </si>
  <si>
    <t>BIQC4</t>
  </si>
  <si>
    <t>BIQC5</t>
  </si>
  <si>
    <t>BIQC6</t>
  </si>
  <si>
    <t>BIQC7</t>
  </si>
  <si>
    <t>BIQC8</t>
  </si>
  <si>
    <t>BIQC9</t>
  </si>
  <si>
    <t>BIQC10</t>
  </si>
  <si>
    <t>BIQC11</t>
  </si>
  <si>
    <t>BIQC12</t>
  </si>
  <si>
    <t>BIQC13</t>
  </si>
  <si>
    <t>BIQC14</t>
  </si>
  <si>
    <t>BIQC15</t>
  </si>
  <si>
    <t>BIQC16</t>
  </si>
  <si>
    <t>BIQC17</t>
  </si>
  <si>
    <t>BIQC18</t>
  </si>
  <si>
    <t>BIQC19</t>
  </si>
  <si>
    <t>BIQC20</t>
  </si>
  <si>
    <t>BIQC21</t>
  </si>
  <si>
    <t>BIQC22</t>
  </si>
  <si>
    <t>BIQC23</t>
  </si>
  <si>
    <t>BIQC24</t>
  </si>
  <si>
    <t>BIQC25</t>
  </si>
  <si>
    <t>BISOP1</t>
  </si>
  <si>
    <t>BISOP2</t>
  </si>
  <si>
    <t>BISOP3</t>
  </si>
  <si>
    <t>BISOP4</t>
  </si>
  <si>
    <t>BISOP5</t>
  </si>
  <si>
    <t>BISOP6</t>
  </si>
  <si>
    <t>BISOP7</t>
  </si>
  <si>
    <t>BISOP8</t>
  </si>
  <si>
    <t>BISOP9</t>
  </si>
  <si>
    <t>BISOP10</t>
  </si>
  <si>
    <t>BISOP11</t>
  </si>
  <si>
    <t>BISOP12</t>
  </si>
  <si>
    <t>BISOP13</t>
  </si>
  <si>
    <t>BISOP14</t>
  </si>
  <si>
    <t>BISOP15</t>
  </si>
  <si>
    <t>BISOP16</t>
  </si>
  <si>
    <t>BISOP17</t>
  </si>
  <si>
    <t>BISOP18</t>
  </si>
  <si>
    <t>BISOP19</t>
  </si>
  <si>
    <t>BISOP20</t>
  </si>
  <si>
    <t>BISOP21</t>
  </si>
  <si>
    <t>BISOP22</t>
  </si>
  <si>
    <t>BISOP23</t>
  </si>
  <si>
    <t>BISOP24</t>
  </si>
  <si>
    <t>BISOP25</t>
  </si>
  <si>
    <t>ADVMIC</t>
  </si>
  <si>
    <t>ADVOTH</t>
  </si>
  <si>
    <t>PGMIC</t>
  </si>
  <si>
    <t>PGOTH</t>
  </si>
  <si>
    <t>BOTH</t>
  </si>
  <si>
    <t>UGMIC</t>
  </si>
  <si>
    <t>UGOTH</t>
  </si>
  <si>
    <t>HS</t>
  </si>
  <si>
    <t>OTJ</t>
  </si>
  <si>
    <t>SOTH</t>
  </si>
  <si>
    <t>%MED</t>
  </si>
  <si>
    <t>%GRA</t>
  </si>
  <si>
    <t>MCF</t>
  </si>
  <si>
    <t>RULCAL</t>
  </si>
  <si>
    <t>BB</t>
  </si>
  <si>
    <t>CL</t>
  </si>
  <si>
    <t>DENS</t>
  </si>
  <si>
    <t>PIP</t>
  </si>
  <si>
    <t>CENT</t>
  </si>
  <si>
    <t>MICRO</t>
  </si>
  <si>
    <t>THERM</t>
  </si>
  <si>
    <t>CO2</t>
  </si>
  <si>
    <t>CJ</t>
  </si>
  <si>
    <t>INC</t>
  </si>
  <si>
    <t>REF</t>
  </si>
  <si>
    <t>F-20</t>
  </si>
  <si>
    <t>F-60</t>
  </si>
  <si>
    <t>F-80</t>
  </si>
  <si>
    <t>DESS</t>
  </si>
  <si>
    <t>HAO</t>
  </si>
  <si>
    <t>BSCIIA</t>
  </si>
  <si>
    <t>CAUTO</t>
  </si>
  <si>
    <t>DAUTO</t>
  </si>
  <si>
    <t>PH</t>
  </si>
  <si>
    <t>BAL</t>
  </si>
  <si>
    <t>CONDUC</t>
  </si>
  <si>
    <t>WD</t>
  </si>
  <si>
    <t>HPMS</t>
  </si>
  <si>
    <t>WB</t>
  </si>
  <si>
    <t>BCI</t>
  </si>
  <si>
    <t>ISAST</t>
  </si>
  <si>
    <t>DDR</t>
  </si>
  <si>
    <t>MT</t>
  </si>
  <si>
    <t>PCRAST</t>
  </si>
  <si>
    <t>RF</t>
  </si>
  <si>
    <t>TO</t>
  </si>
  <si>
    <t>SF</t>
  </si>
  <si>
    <t>FAC</t>
  </si>
  <si>
    <t>DATA</t>
  </si>
  <si>
    <t>MPREP</t>
  </si>
  <si>
    <t>IDQC</t>
  </si>
  <si>
    <t>ASTQC</t>
  </si>
  <si>
    <t>SPEC</t>
  </si>
  <si>
    <t>PROC</t>
  </si>
  <si>
    <t>ID</t>
  </si>
  <si>
    <t>BAST</t>
  </si>
  <si>
    <t>EAST</t>
  </si>
  <si>
    <t>PANE</t>
  </si>
  <si>
    <t>SAFE</t>
  </si>
  <si>
    <t>FAC1</t>
  </si>
  <si>
    <t>FAC2</t>
  </si>
  <si>
    <t>FAC3</t>
  </si>
  <si>
    <t>FAC4</t>
  </si>
  <si>
    <t>FAC5</t>
  </si>
  <si>
    <t>FAC6</t>
  </si>
  <si>
    <t>FAC7</t>
  </si>
  <si>
    <t>FAC8</t>
  </si>
  <si>
    <t>FAC9</t>
  </si>
  <si>
    <t>FAC10</t>
  </si>
  <si>
    <t>FAC11</t>
  </si>
  <si>
    <t>LIS1</t>
  </si>
  <si>
    <t>LIS2</t>
  </si>
  <si>
    <t>LIS3</t>
  </si>
  <si>
    <t>LIS4</t>
  </si>
  <si>
    <t>LIS5</t>
  </si>
  <si>
    <t>LIS6</t>
  </si>
  <si>
    <t>DATA1</t>
  </si>
  <si>
    <t>DATA2</t>
  </si>
  <si>
    <t>DATA3</t>
  </si>
  <si>
    <t>DATA4</t>
  </si>
  <si>
    <t>DATA5</t>
  </si>
  <si>
    <t>DATA6</t>
  </si>
  <si>
    <t>DATA7</t>
  </si>
  <si>
    <t>QA1</t>
  </si>
  <si>
    <t>QA2</t>
  </si>
  <si>
    <t>QA3</t>
  </si>
  <si>
    <t>QA4</t>
  </si>
  <si>
    <t>MPREP1</t>
  </si>
  <si>
    <t>MPREP2</t>
  </si>
  <si>
    <t>MPREP3</t>
  </si>
  <si>
    <t>MPREP4</t>
  </si>
  <si>
    <t>MPREP5</t>
  </si>
  <si>
    <t>MPREP6</t>
  </si>
  <si>
    <t>IDQC1</t>
  </si>
  <si>
    <t>IDQC2</t>
  </si>
  <si>
    <t>IDQC3</t>
  </si>
  <si>
    <t>IDQC4</t>
  </si>
  <si>
    <t>IDQC5</t>
  </si>
  <si>
    <t>IDQC6</t>
  </si>
  <si>
    <t>IDQC7</t>
  </si>
  <si>
    <t>IDQC8</t>
  </si>
  <si>
    <t>ASTQC1</t>
  </si>
  <si>
    <t>ASTQC2</t>
  </si>
  <si>
    <t>ASTQC3</t>
  </si>
  <si>
    <t>ASTQC4</t>
  </si>
  <si>
    <t>ASTQC5</t>
  </si>
  <si>
    <t>SPEC1</t>
  </si>
  <si>
    <t>SPEC2</t>
  </si>
  <si>
    <t>SPEC3</t>
  </si>
  <si>
    <t>SPEC4</t>
  </si>
  <si>
    <t>SPEC5</t>
  </si>
  <si>
    <t>PROC1</t>
  </si>
  <si>
    <t>PROC2</t>
  </si>
  <si>
    <t>PROC3</t>
  </si>
  <si>
    <t>PROC4</t>
  </si>
  <si>
    <t>ID1</t>
  </si>
  <si>
    <t>ID2</t>
  </si>
  <si>
    <t>ID3</t>
  </si>
  <si>
    <t>ID4</t>
  </si>
  <si>
    <t>ID5</t>
  </si>
  <si>
    <t>ID6</t>
  </si>
  <si>
    <t>ID7</t>
  </si>
  <si>
    <t>ID8</t>
  </si>
  <si>
    <t>ID9</t>
  </si>
  <si>
    <t>ID10</t>
  </si>
  <si>
    <t>ID11</t>
  </si>
  <si>
    <t>ID12</t>
  </si>
  <si>
    <t>ID13</t>
  </si>
  <si>
    <t>ID14</t>
  </si>
  <si>
    <t>ID15</t>
  </si>
  <si>
    <t>BAST1</t>
  </si>
  <si>
    <t>BAST2</t>
  </si>
  <si>
    <t>BAST3</t>
  </si>
  <si>
    <t>BAST4</t>
  </si>
  <si>
    <t>BAST5</t>
  </si>
  <si>
    <t>BAST6</t>
  </si>
  <si>
    <t>EAST1</t>
  </si>
  <si>
    <t>EAST2</t>
  </si>
  <si>
    <t>EAST3</t>
  </si>
  <si>
    <t>EAST4</t>
  </si>
  <si>
    <t>EAST5</t>
  </si>
  <si>
    <t>EAST6</t>
  </si>
  <si>
    <t>EAST7</t>
  </si>
  <si>
    <t>EAST8</t>
  </si>
  <si>
    <t>EAST9</t>
  </si>
  <si>
    <t>EAST10</t>
  </si>
  <si>
    <t>PAN1</t>
  </si>
  <si>
    <t>PAN2</t>
  </si>
  <si>
    <t>PAN3</t>
  </si>
  <si>
    <t>SAFE1</t>
  </si>
  <si>
    <t>SAFE2</t>
  </si>
  <si>
    <t>SAFE3</t>
  </si>
  <si>
    <t>SAFE4</t>
  </si>
  <si>
    <t>TO1</t>
  </si>
  <si>
    <t>TO2</t>
  </si>
  <si>
    <t>TO3</t>
  </si>
  <si>
    <t>TO4</t>
  </si>
  <si>
    <t>TO5</t>
  </si>
  <si>
    <t>TO6</t>
  </si>
  <si>
    <t>TO7</t>
  </si>
  <si>
    <t>TO8</t>
  </si>
  <si>
    <t>TO9</t>
  </si>
  <si>
    <t>TO10</t>
  </si>
  <si>
    <t>Q1.1</t>
  </si>
  <si>
    <t>Q1.2</t>
  </si>
  <si>
    <t>Q1.3</t>
  </si>
  <si>
    <t>Q1.4</t>
  </si>
  <si>
    <t>Q1.5</t>
  </si>
  <si>
    <t>Q1.6</t>
  </si>
  <si>
    <t>Q1.7</t>
  </si>
  <si>
    <t>Q1.8</t>
  </si>
  <si>
    <t>Q1.9</t>
  </si>
  <si>
    <t>Q1.10</t>
  </si>
  <si>
    <t>Q1.11</t>
  </si>
  <si>
    <t>Q1.12</t>
  </si>
  <si>
    <t>Q1.13</t>
  </si>
  <si>
    <t>Q1.14</t>
  </si>
  <si>
    <t>Q1.15</t>
  </si>
  <si>
    <t>Q1.16</t>
  </si>
  <si>
    <t>Q1.17</t>
  </si>
  <si>
    <t>Q1.18</t>
  </si>
  <si>
    <t>Q1.19</t>
  </si>
  <si>
    <t>Q1.20</t>
  </si>
  <si>
    <t>Q1.21</t>
  </si>
  <si>
    <t>Q2.1</t>
  </si>
  <si>
    <t>Q2.2</t>
  </si>
  <si>
    <t>Q2.3</t>
  </si>
  <si>
    <t>Q2.4</t>
  </si>
  <si>
    <t>Q2.5</t>
  </si>
  <si>
    <t>Q2.6</t>
  </si>
  <si>
    <t>Q2.7</t>
  </si>
  <si>
    <t>Q2.8</t>
  </si>
  <si>
    <t>Q2.9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</si>
  <si>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</si>
  <si>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</si>
  <si>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</si>
  <si>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</si>
  <si>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</si>
  <si>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</si>
  <si>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</si>
  <si>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</si>
  <si>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</si>
  <si>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</si>
  <si>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</si>
  <si>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</si>
  <si>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</si>
  <si>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</si>
  <si>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</si>
  <si>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</si>
  <si>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</si>
  <si>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</si>
  <si>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</si>
  <si>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</si>
  <si>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</si>
  <si>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</si>
  <si>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</si>
  <si>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</si>
  <si>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</si>
  <si>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</si>
  <si>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</si>
  <si>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</si>
  <si>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</si>
  <si>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</si>
  <si>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</si>
  <si>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</si>
  <si>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</si>
  <si>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</si>
  <si>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</si>
  <si>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</si>
  <si>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Q5.1</t>
  </si>
  <si>
    <t>Q5.2</t>
  </si>
  <si>
    <t>Q5.3</t>
  </si>
  <si>
    <t>Q5.4</t>
  </si>
  <si>
    <t>Q5.5</t>
  </si>
  <si>
    <t>Q5.6</t>
  </si>
  <si>
    <t>Q5.7</t>
  </si>
  <si>
    <t>Q5.8</t>
  </si>
  <si>
    <t>Q5.9</t>
  </si>
  <si>
    <t>Q5.10</t>
  </si>
  <si>
    <t>Q5.11</t>
  </si>
  <si>
    <t>Q5.12</t>
  </si>
  <si>
    <t>Q5.13</t>
  </si>
  <si>
    <t>Q6.1</t>
  </si>
  <si>
    <t>Q6.2</t>
  </si>
  <si>
    <t>Q9.1</t>
  </si>
  <si>
    <t>Q10.1</t>
  </si>
  <si>
    <t>Q10.2</t>
  </si>
  <si>
    <t>Q10.3</t>
  </si>
  <si>
    <t>Q10.4</t>
  </si>
  <si>
    <t>Q10.5</t>
  </si>
  <si>
    <t>Q10.6</t>
  </si>
  <si>
    <t>Q10.7</t>
  </si>
  <si>
    <t>Q10.8</t>
  </si>
  <si>
    <t>Q10.9</t>
  </si>
  <si>
    <t>Q10.10</t>
  </si>
  <si>
    <t>Q10.11</t>
  </si>
  <si>
    <t>Q10.12</t>
  </si>
  <si>
    <t>Q10.13</t>
  </si>
  <si>
    <t>Q10.14</t>
  </si>
  <si>
    <t>Q10.15</t>
  </si>
  <si>
    <t>Q10.16</t>
  </si>
  <si>
    <t>Q10.17</t>
  </si>
  <si>
    <t>Q10.18</t>
  </si>
  <si>
    <t>Q10.19</t>
  </si>
  <si>
    <t>Q10.20</t>
  </si>
  <si>
    <t>Q10.21</t>
  </si>
  <si>
    <t>Q10.22</t>
  </si>
  <si>
    <t>Q10.23</t>
  </si>
  <si>
    <t>Q10.24</t>
  </si>
  <si>
    <t>Q10.25</t>
  </si>
  <si>
    <t>Q10.26</t>
  </si>
  <si>
    <t>Q10.27</t>
  </si>
  <si>
    <t>Q10.28</t>
  </si>
  <si>
    <t>Q10.29</t>
  </si>
  <si>
    <t>Q10.30</t>
  </si>
  <si>
    <t>Q10.31</t>
  </si>
  <si>
    <t>Q10.32</t>
  </si>
  <si>
    <t>Q10.33</t>
  </si>
  <si>
    <t>Q10.34</t>
  </si>
  <si>
    <t>Q10.35</t>
  </si>
  <si>
    <t>Q11.1</t>
  </si>
  <si>
    <t>Q11.2</t>
  </si>
  <si>
    <t>Q11.3</t>
  </si>
  <si>
    <t>Q11.4</t>
  </si>
  <si>
    <t>Q11.5</t>
  </si>
  <si>
    <t>Q11.6</t>
  </si>
  <si>
    <t>Q11.7</t>
  </si>
  <si>
    <t>Q11.8</t>
  </si>
  <si>
    <t>Q11.9</t>
  </si>
  <si>
    <t>Q11.10</t>
  </si>
  <si>
    <t>Q11.11</t>
  </si>
  <si>
    <t>Q11.12</t>
  </si>
  <si>
    <t>Q11.13</t>
  </si>
  <si>
    <t>Q12.1</t>
  </si>
  <si>
    <t>Q12.2</t>
  </si>
  <si>
    <t>Q12.3</t>
  </si>
  <si>
    <t>Q12.4</t>
  </si>
  <si>
    <t>Q12.5</t>
  </si>
  <si>
    <t>Q12.6</t>
  </si>
  <si>
    <t>Q12.7</t>
  </si>
  <si>
    <t>Q12.8</t>
  </si>
  <si>
    <t>Q12.9</t>
  </si>
  <si>
    <t>Q12.10</t>
  </si>
  <si>
    <t>Q12.11</t>
  </si>
  <si>
    <t>Q12.12</t>
  </si>
  <si>
    <t>Q12.13</t>
  </si>
  <si>
    <t>Q12.14</t>
  </si>
  <si>
    <t>Q12.15</t>
  </si>
  <si>
    <t>Q12.16</t>
  </si>
  <si>
    <t>Q12.17</t>
  </si>
  <si>
    <t>Q12.18</t>
  </si>
  <si>
    <t>Q12.19</t>
  </si>
  <si>
    <t>Q12.20</t>
  </si>
  <si>
    <t>Q12.21</t>
  </si>
  <si>
    <t>Q12.22</t>
  </si>
  <si>
    <t>Q12.23</t>
  </si>
  <si>
    <t>Q12.24</t>
  </si>
  <si>
    <t>Q12.25</t>
  </si>
  <si>
    <t>Q12.26</t>
  </si>
  <si>
    <t>Q12.27</t>
  </si>
  <si>
    <t>Q12.28</t>
  </si>
  <si>
    <t>Q12.29</t>
  </si>
  <si>
    <t>Q12.30</t>
  </si>
  <si>
    <t>Q12.31</t>
  </si>
  <si>
    <t>Q12.32</t>
  </si>
  <si>
    <t>Q12.33</t>
  </si>
  <si>
    <t>Q13.1</t>
  </si>
  <si>
    <t>Q13.2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</si>
</sst>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0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name val="Calibri"/>
      <family val="2"/>
    </font>
    <font>
      <sz val="10"/>
      <name val="Calibri"/>
      <family val="2"/>
    </font>
    <font>
      <b/>
      <sz val="10"/>
      <name val="Calibri"/>
      <family val="2"/>
    </font>
    <font>
      <i/>
      <sz val="10"/>
      <name val="Calibri"/>
      <family val="2"/>
    </font>
    <font>
      <b/>
      <sz val="10"/>
      <color theme="0"/>
      <name val="Calibri"/>
      <family val="2"/>
    </font>
    <font>
      <sz val="10"/>
      <color theme="1"/>
      <name val="Calibri (Body)_x0000_"/>
    </font>
    <font>
      <sz val="10"/>
      <color theme="1"/>
      <name val="Calibri"/>
      <family val="2"/>
    </font>
    <font>
      <sz val="10"/>
      <color theme="1"/>
      <name val="Calibri"/>
      <family val="2"/>
      <scheme val="minor"/>
    </font>
    <font>
      <sz val="8"/>
      <color theme="1"/>
      <name val="Calibri"/>
      <family val="2"/>
    </font>
    <font>
      <b/>
      <sz val="12"/>
      <color theme="4"/>
      <name val="Calibri"/>
      <family val="2"/>
    </font>
    <font>
      <sz val="8"/>
      <color theme="1"/>
      <name val="Calibri"/>
      <family val="2"/>
      <scheme val="minor"/>
    </font>
    <font>
      <i/>
      <sz val="8"/>
      <color theme="1"/>
      <name val="Calibri"/>
      <family val="2"/>
      <scheme val="minor"/>
    </font>
    <font>
      <sz val="10"/>
      <name val="Calibri (Body)_x0000_"/>
    </font>
    <font>
      <i/>
      <sz val="10"/>
      <color theme="1"/>
      <name val="Calibri"/>
      <family val="2"/>
      <scheme val="minor"/>
    </font>
    <font>
      <b/>
      <i/>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2"/>
      <color rgb="FF000000"/>
      <name val="Calibri"/>
      <family val="2"/>
      <scheme val="minor"/>
    </font>
    <font>
      <b/>
      <sz val="12"/>
      <color theme="4"/>
      <name val="Calibri"/>
      <family val="2"/>
      <scheme val="minor"/>
    </font>
    <font>
      <i/>
      <sz val="8"/>
      <color theme="1"/>
      <name val="Calibri"/>
      <family val="2"/>
    </font>
    <font>
      <i/>
      <sz val="9"/>
      <color theme="1"/>
      <name val="Calibri"/>
      <family val="2"/>
      <scheme val="minor"/>
    </font>
    <font>
      <b/>
      <sz val="11"/>
      <color theme="0"/>
      <name val="Calibri"/>
      <family val="2"/>
      <scheme val="minor"/>
    </font>
    <font>
      <b/>
      <sz val="14"/>
      <color theme="1"/>
      <name val="Calibri"/>
      <family val="2"/>
      <scheme val="minor"/>
    </font>
    <font>
      <b/>
      <sz val="10"/>
      <name val="Calibri"/>
      <family val="2"/>
      <scheme val="minor"/>
    </font>
    <font>
      <i/>
      <sz val="10"/>
      <color theme="1"/>
      <name val="Calibri"/>
      <family val="2"/>
    </font>
    <font>
      <b/>
      <sz val="10"/>
      <color theme="1"/>
      <name val="Calibri"/>
      <family val="2"/>
    </font>
    <font>
      <sz val="10"/>
      <color rgb="FFFF0000"/>
      <name val="Calibri"/>
      <family val="2"/>
    </font>
    <font>
      <sz val="12"/>
      <color rgb="FFFF0000"/>
      <name val="Calibri"/>
      <family val="2"/>
      <scheme val="minor"/>
    </font>
    <font>
      <sz val="10"/>
      <color rgb="FFFF0000"/>
      <name val="Calibri"/>
      <family val="2"/>
      <scheme val="minor"/>
    </font>
    <font>
      <sz val="10"/>
      <color rgb="FF0070C0"/>
      <name val="Calibri"/>
      <family val="2"/>
      <scheme val="minor"/>
    </font>
    <font>
      <sz val="12"/>
      <color rgb="FF0070C0"/>
      <name val="Calibri"/>
      <family val="2"/>
      <scheme val="minor"/>
    </font>
    <font>
      <sz val="11"/>
      <name val="Calibri"/>
      <family val="2"/>
      <scheme val="minor"/>
    </font>
    <font>
      <i/>
      <sz val="10"/>
      <name val="Calibri"/>
      <family val="2"/>
      <scheme val="minor"/>
    </font>
    <font>
      <u/>
      <sz val="12"/>
      <color theme="10"/>
      <name val="Calibri"/>
      <family val="2"/>
      <scheme val="minor"/>
    </font>
    <font>
      <u/>
      <sz val="12"/>
      <color theme="11"/>
      <name val="Calibri"/>
      <family val="2"/>
      <scheme val="minor"/>
    </font>
    <font>
      <sz val="9"/>
      <color theme="1"/>
      <name val="Calibri"/>
      <family val="2"/>
      <scheme val="minor"/>
    </font>
    <font>
      <sz val="10"/>
      <color theme="0"/>
      <name val="Calibri"/>
      <family val="2"/>
    </font>
    <font>
      <sz val="8"/>
      <name val="Calibri"/>
      <family val="2"/>
    </font>
    <font>
      <b/>
      <sz val="10"/>
      <color indexed="9"/>
      <name val="Calibri"/>
      <family val="2"/>
    </font>
    <font>
      <u/>
      <sz val="10"/>
      <color theme="10"/>
      <name val="Calibri"/>
      <family val="2"/>
      <scheme val="minor"/>
    </font>
    <font>
      <sz val="8"/>
      <name val="Calibri"/>
      <family val="2"/>
      <scheme val="minor"/>
    </font>
    <font>
      <b/>
      <sz val="12"/>
      <color theme="0"/>
      <name val="Calibri"/>
      <family val="2"/>
      <scheme val="minor"/>
    </font>
    <font>
      <sz val="12"/>
      <color theme="1"/>
      <name val="Calibri (Body)_x0000_"/>
    </font>
    <font>
      <b/>
      <sz val="12"/>
      <color rgb="FFFF0000"/>
      <name val="Calibri"/>
      <family val="2"/>
      <scheme val="minor"/>
    </font>
    <font>
      <b/>
      <i/>
      <sz val="10"/>
      <name val="Calibri"/>
      <family val="2"/>
    </font>
    <font>
      <b/>
      <sz val="12"/>
      <color theme="5"/>
      <name val="Calibri"/>
      <family val="2"/>
      <scheme val="minor"/>
    </font>
    <font>
      <b/>
      <sz val="10"/>
      <color theme="5"/>
      <name val="Calibri"/>
      <family val="2"/>
      <scheme val="minor"/>
    </font>
    <font>
      <i/>
      <sz val="10"/>
      <color rgb="FFFF0000"/>
      <name val="Calibri"/>
      <family val="2"/>
    </font>
    <font>
      <b/>
      <sz val="9"/>
      <color theme="1"/>
      <name val="Calibri"/>
      <family val="2"/>
      <scheme val="minor"/>
    </font>
    <font>
      <u/>
      <sz val="9"/>
      <color theme="1"/>
      <name val="Calibri"/>
      <family val="2"/>
      <scheme val="minor"/>
    </font>
    <font>
      <sz val="11"/>
      <color rgb="FF006100"/>
      <name val="Calibri"/>
      <family val="2"/>
      <scheme val="minor"/>
    </font>
    <font>
      <sz val="12"/>
      <name val="Calibri"/>
      <family val="2"/>
      <scheme val="minor"/>
    </font>
    <font>
      <b/>
      <sz val="12"/>
      <name val="Calibri"/>
      <family val="2"/>
      <scheme val="minor"/>
    </font>
    <font>
      <sz val="11"/>
      <color rgb="FF9C0006"/>
      <name val="Calibri"/>
      <family val="2"/>
      <scheme val="minor"/>
    </font>
    <font>
      <sz val="11"/>
      <color rgb="FF9C6500"/>
      <name val="Calibri"/>
      <family val="2"/>
      <scheme val="minor"/>
    </font>
    <font>
      <b/>
      <sz val="10"/>
      <color rgb="FF9C0006"/>
      <name val="Calibri"/>
      <family val="2"/>
      <scheme val="minor"/>
    </font>
    <font>
      <b/>
      <sz val="10"/>
      <color rgb="FF006100"/>
      <name val="Calibri"/>
      <family val="2"/>
      <scheme val="minor"/>
    </font>
    <font>
      <b/>
      <sz val="10"/>
      <color rgb="FF9C6500"/>
      <name val="Calibri"/>
      <family val="2"/>
      <scheme val="minor"/>
    </font>
    <font>
      <b/>
      <sz val="11"/>
      <color theme="1"/>
      <name val="Calibri"/>
      <family val="2"/>
      <scheme val="minor"/>
    </font>
    <font>
      <i/>
      <sz val="8"/>
      <name val="Calibri"/>
      <family val="2"/>
      <scheme val="minor"/>
    </font>
    <font>
      <b/>
      <sz val="10"/>
      <name val="Calibri (Body)_x0000_"/>
    </font>
    <font>
      <sz val="10"/>
      <name val="Calibri (Body)"/>
    </font>
    <font>
      <sz val="12"/>
      <color rgb="FF00B0F0"/>
      <name val="Calibri"/>
      <family val="2"/>
      <scheme val="minor"/>
    </font>
    <font>
      <b/>
      <sz val="11"/>
      <color rgb="FF00B0F0"/>
      <name val="Calibri"/>
      <family val="2"/>
      <scheme val="minor"/>
    </font>
    <font>
      <b/>
      <sz val="12"/>
      <color rgb="FF00B0F0"/>
      <name val="Calibri"/>
      <family val="2"/>
      <scheme val="minor"/>
    </font>
    <font>
      <sz val="12"/>
      <color theme="0"/>
      <name val="Calibri"/>
      <family val="2"/>
      <scheme val="minor"/>
    </font>
    <font>
      <i/>
      <sz val="12"/>
      <color theme="1"/>
      <name val="Calibri"/>
      <family val="2"/>
      <scheme val="minor"/>
    </font>
    <font>
      <b/>
      <sz val="10"/>
      <color theme="0"/>
      <name val="Calibri (Body)_x0000_"/>
    </font>
    <font>
      <sz val="10"/>
      <color rgb="FF00B0F0"/>
      <name val="Calibri"/>
      <family val="2"/>
    </font>
    <font>
      <b/>
      <i/>
      <sz val="11"/>
      <color theme="1"/>
      <name val="Calibri"/>
      <family val="2"/>
      <scheme val="minor"/>
    </font>
    <font>
      <sz val="10"/>
      <color rgb="FF00B0F0"/>
      <name val="Calibri"/>
      <family val="2"/>
      <scheme val="minor"/>
    </font>
    <font>
      <i/>
      <sz val="9"/>
      <name val="Calibri"/>
      <family val="2"/>
      <scheme val="minor"/>
    </font>
    <font>
      <sz val="10"/>
      <color theme="0"/>
      <name val="Calibri"/>
      <family val="2"/>
      <scheme val="minor"/>
    </font>
    <font>
      <b/>
      <sz val="10"/>
      <name val="Calibri (Body)"/>
    </font>
    <font>
      <b/>
      <sz val="10"/>
      <color theme="4"/>
      <name val="Calibri"/>
      <family val="2"/>
      <scheme val="minor"/>
    </font>
    <font>
      <b/>
      <i/>
      <sz val="10.5"/>
      <color rgb="FF1F497D"/>
      <name val="Calibri"/>
      <family val="2"/>
      <scheme val="minor"/>
    </font>
    <font>
      <b/>
      <sz val="18"/>
      <color rgb="FF4472C4"/>
      <name val="Calibri"/>
      <family val="2"/>
      <scheme val="minor"/>
    </font>
    <font>
      <b/>
      <sz val="32"/>
      <color rgb="FF4472C4"/>
      <name val="Calibri"/>
      <family val="2"/>
      <scheme val="minor"/>
    </font>
    <font>
      <sz val="10"/>
      <color rgb="FF000000"/>
      <name val="Calibri"/>
      <family val="2"/>
      <scheme val="minor"/>
    </font>
    <font>
      <sz val="10"/>
      <color indexed="9"/>
      <name val="Calibri"/>
      <family val="2"/>
      <scheme val="minor"/>
    </font>
    <font>
      <b/>
      <sz val="14"/>
      <name val="Calibri"/>
      <family val="2"/>
      <scheme val="minor"/>
    </font>
    <font>
      <b/>
      <sz val="8"/>
      <color theme="0"/>
      <name val="Calibri"/>
      <family val="2"/>
      <scheme val="minor"/>
    </font>
    <font>
      <b/>
      <sz val="32"/>
      <color theme="4"/>
      <name val="Calibri"/>
      <family val="2"/>
      <scheme val="minor"/>
    </font>
    <font>
      <b/>
      <sz val="9"/>
      <color theme="1"/>
      <name val="Calibri"/>
      <family val="2"/>
    </font>
    <font>
      <b/>
      <sz val="10"/>
      <color rgb="FF000000"/>
      <name val="Calibri"/>
      <family val="2"/>
      <scheme val="minor"/>
    </font>
    <font>
      <sz val="10"/>
      <color theme="1"/>
      <name val="Calibri (Body)"/>
    </font>
    <font>
      <vertAlign val="subscript"/>
      <sz val="10"/>
      <color theme="1"/>
      <name val="Calibri"/>
      <family val="2"/>
      <scheme val="minor"/>
    </font>
    <font>
      <sz val="10"/>
      <color rgb="FF222222"/>
      <name val="Calibri"/>
      <family val="2"/>
      <scheme val="minor"/>
    </font>
    <font>
      <b/>
      <i/>
      <sz val="10"/>
      <color rgb="FF0070C0"/>
      <name val="Calibri"/>
      <family val="2"/>
      <scheme val="minor"/>
    </font>
    <font>
      <b/>
      <sz val="10"/>
      <color theme="8" tint="-0.249977111117893"/>
      <name val="Calibri"/>
      <family val="2"/>
      <scheme val="minor"/>
    </font>
    <font>
      <b/>
      <sz val="10"/>
      <color rgb="FF0070C0"/>
      <name val="Calibri"/>
      <family val="2"/>
      <scheme val="minor"/>
    </font>
    <font>
      <b/>
      <sz val="11"/>
      <name val="Calibri"/>
      <family val="2"/>
    </font>
    <font>
      <u/>
      <sz val="10"/>
      <color theme="1"/>
      <name val="Calibri"/>
      <family val="2"/>
      <scheme val="minor"/>
    </font>
    <font>
      <u/>
      <sz val="10"/>
      <color rgb="FF000000"/>
      <name val="Calibri"/>
      <family val="2"/>
      <scheme val="minor"/>
    </font>
    <font>
      <b/>
      <sz val="11"/>
      <color theme="4"/>
      <name val="Calibri"/>
      <family val="2"/>
      <scheme val="minor"/>
    </font>
    <font>
      <u/>
      <sz val="11"/>
      <color theme="10"/>
      <name val="Calibri"/>
      <family val="2"/>
      <scheme val="minor"/>
    </font>
  </fonts>
  <fills count="24">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gray0625">
        <fgColor indexed="22"/>
      </patternFill>
    </fill>
    <fill>
      <patternFill patternType="solid">
        <fgColor theme="6" tint="0.39997558519241921"/>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rgb="FFBFBFBF"/>
        <bgColor indexed="64"/>
      </patternFill>
    </fill>
    <fill>
      <patternFill patternType="solid">
        <fgColor rgb="FFF2F2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1" tint="0.34998626667073579"/>
        <bgColor indexed="64"/>
      </patternFill>
    </fill>
    <fill>
      <patternFill patternType="solid">
        <fgColor theme="1"/>
        <bgColor indexed="22"/>
      </patternFill>
    </fill>
    <fill>
      <patternFill patternType="solid">
        <fgColor rgb="FFFFFF00"/>
        <bgColor indexed="64"/>
      </patternFill>
    </fill>
    <fill>
      <patternFill patternType="solid">
        <fgColor theme="0"/>
        <bgColor indexed="64"/>
      </patternFill>
    </fill>
    <fill>
      <patternFill patternType="solid">
        <fgColor rgb="FFFFFF00"/>
        <bgColor indexed="31"/>
      </patternFill>
    </fill>
    <fill>
      <patternFill patternType="solid">
        <fgColor theme="8" tint="0.79998168889431442"/>
        <bgColor indexed="64"/>
      </patternFill>
    </fill>
    <fill>
      <patternFill patternType="solid">
        <fgColor theme="4" tint="0.79998168889431442"/>
        <bgColor indexed="64"/>
      </patternFill>
    </fill>
  </fills>
  <borders count="59">
    <border>
      <left/>
      <right/>
      <top/>
      <bottom/>
      <diagonal/>
    </border>
    <border>
      <left style="medium">
        <color auto="1"/>
      </left>
      <right style="medium">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theme="0"/>
      </left>
      <right style="thin">
        <color theme="0"/>
      </right>
      <top/>
      <bottom style="thin">
        <color auto="1"/>
      </bottom>
      <diagonal/>
    </border>
    <border>
      <left style="thin">
        <color theme="0"/>
      </left>
      <right style="thin">
        <color theme="0"/>
      </right>
      <top/>
      <bottom/>
      <diagonal/>
    </border>
    <border>
      <left/>
      <right/>
      <top style="medium">
        <color auto="1"/>
      </top>
      <bottom style="thin">
        <color auto="1"/>
      </bottom>
      <diagonal/>
    </border>
    <border>
      <left style="thin">
        <color theme="0"/>
      </left>
      <right style="thin">
        <color theme="0"/>
      </right>
      <top style="thin">
        <color auto="1"/>
      </top>
      <bottom/>
      <diagonal/>
    </border>
    <border>
      <left/>
      <right style="thin">
        <color theme="0"/>
      </right>
      <top/>
      <bottom/>
      <diagonal/>
    </border>
    <border>
      <left style="thin">
        <color theme="0"/>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32">
    <xf numFmtId="0" fontId="0" fillId="0" borderId="0"/>
    <xf numFmtId="9" fontId="2"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55" fillId="14" borderId="0" applyNumberFormat="0" applyBorder="0" applyAlignment="0" applyProtection="0"/>
    <xf numFmtId="0" fontId="58" fillId="15" borderId="0" applyNumberFormat="0" applyBorder="0" applyAlignment="0" applyProtection="0"/>
    <xf numFmtId="0" fontId="59" fillId="16" borderId="0" applyNumberFormat="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cellStyleXfs>
  <cellXfs count="661">
    <xf numFmtId="0" fontId="0" fillId="0" borderId="0" xfId="0"/>
    <xf numFmtId="0" fontId="3" fillId="0" borderId="0" xfId="0" applyFont="1"/>
    <xf numFmtId="0" fontId="5" fillId="0" borderId="0" xfId="0" applyFont="1" applyBorder="1"/>
    <xf numFmtId="9" fontId="5" fillId="0" borderId="0" xfId="1" applyFont="1" applyBorder="1" applyAlignment="1">
      <alignment horizontal="center"/>
    </xf>
    <xf numFmtId="0" fontId="10" fillId="0" borderId="0" xfId="0" applyFont="1"/>
    <xf numFmtId="0" fontId="11" fillId="0" borderId="0" xfId="0" applyFont="1"/>
    <xf numFmtId="0" fontId="12"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vertical="center" wrapText="1"/>
    </xf>
    <xf numFmtId="0" fontId="10" fillId="0" borderId="0" xfId="0" applyFont="1" applyAlignment="1">
      <alignment horizontal="center"/>
    </xf>
    <xf numFmtId="0" fontId="12" fillId="0" borderId="4" xfId="0" applyFont="1" applyBorder="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applyAlignment="1">
      <alignment vertical="center"/>
    </xf>
    <xf numFmtId="0" fontId="8" fillId="3" borderId="0" xfId="0" applyFont="1" applyFill="1" applyBorder="1" applyAlignment="1">
      <alignment vertical="center" wrapText="1"/>
    </xf>
    <xf numFmtId="0" fontId="11" fillId="0" borderId="0" xfId="0" applyFont="1" applyAlignment="1">
      <alignment horizontal="center" vertical="center"/>
    </xf>
    <xf numFmtId="0" fontId="14" fillId="0" borderId="4" xfId="0" applyFont="1" applyBorder="1" applyAlignment="1">
      <alignment horizontal="center" vertical="center"/>
    </xf>
    <xf numFmtId="0" fontId="11" fillId="0" borderId="0" xfId="0" applyFont="1" applyAlignment="1">
      <alignment horizontal="left" vertical="center" indent="1"/>
    </xf>
    <xf numFmtId="9" fontId="6" fillId="0" borderId="0" xfId="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vertical="center"/>
    </xf>
    <xf numFmtId="0" fontId="5" fillId="0" borderId="0" xfId="0" applyFont="1" applyBorder="1" applyAlignment="1">
      <alignment horizontal="center" vertical="center"/>
    </xf>
    <xf numFmtId="0" fontId="19" fillId="0" borderId="0" xfId="0" applyFont="1" applyAlignment="1">
      <alignment vertical="center" wrapText="1"/>
    </xf>
    <xf numFmtId="0" fontId="11" fillId="0" borderId="0" xfId="0" applyFont="1" applyFill="1" applyAlignment="1">
      <alignment horizontal="center" vertical="center"/>
    </xf>
    <xf numFmtId="0" fontId="11" fillId="0" borderId="0" xfId="0" applyFont="1" applyAlignment="1">
      <alignment wrapText="1"/>
    </xf>
    <xf numFmtId="0" fontId="5" fillId="2" borderId="0" xfId="0" applyFont="1" applyFill="1" applyBorder="1" applyAlignment="1" applyProtection="1">
      <alignment horizontal="center" vertical="center" wrapText="1"/>
      <protection locked="0"/>
    </xf>
    <xf numFmtId="0" fontId="0" fillId="0" borderId="0" xfId="0" applyAlignment="1">
      <alignment vertical="center" wrapText="1"/>
    </xf>
    <xf numFmtId="0" fontId="5" fillId="0" borderId="0" xfId="0" applyFont="1" applyBorder="1" applyAlignment="1">
      <alignment horizontal="center" vertical="center" wrapText="1"/>
    </xf>
    <xf numFmtId="0" fontId="0" fillId="0" borderId="0" xfId="0" applyAlignment="1">
      <alignment wrapText="1"/>
    </xf>
    <xf numFmtId="9" fontId="9" fillId="0" borderId="0" xfId="0" applyNumberFormat="1" applyFont="1" applyFill="1" applyBorder="1" applyAlignment="1">
      <alignment horizontal="center" vertical="center" wrapText="1"/>
    </xf>
    <xf numFmtId="0" fontId="5" fillId="2" borderId="0" xfId="0" applyNumberFormat="1" applyFont="1" applyFill="1" applyBorder="1" applyAlignment="1" applyProtection="1">
      <alignment horizontal="center" vertical="center" wrapText="1"/>
      <protection locked="0"/>
    </xf>
    <xf numFmtId="0" fontId="18" fillId="0" borderId="0" xfId="0" applyFont="1" applyAlignment="1">
      <alignment vertical="center" wrapText="1"/>
    </xf>
    <xf numFmtId="0" fontId="20" fillId="3" borderId="0" xfId="0" applyFont="1" applyFill="1" applyBorder="1" applyAlignment="1">
      <alignment vertical="center" wrapText="1"/>
    </xf>
    <xf numFmtId="0" fontId="11" fillId="0" borderId="0" xfId="0" applyFont="1" applyAlignment="1">
      <alignment horizontal="left" vertical="center" wrapText="1" indent="2"/>
    </xf>
    <xf numFmtId="0" fontId="17" fillId="0" borderId="0" xfId="0" applyFont="1" applyAlignment="1">
      <alignment horizontal="left" vertical="center" wrapText="1" indent="2"/>
    </xf>
    <xf numFmtId="0" fontId="11" fillId="0" borderId="0" xfId="0" applyFont="1" applyAlignment="1">
      <alignment horizontal="left" vertical="center" wrapText="1" indent="1"/>
    </xf>
    <xf numFmtId="0" fontId="0" fillId="0" borderId="0" xfId="0" applyBorder="1"/>
    <xf numFmtId="0" fontId="22" fillId="0" borderId="0" xfId="0" applyFont="1"/>
    <xf numFmtId="0" fontId="21"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Border="1" applyAlignment="1">
      <alignment vertical="center"/>
    </xf>
    <xf numFmtId="0" fontId="23" fillId="0" borderId="0" xfId="0" applyFont="1" applyAlignment="1">
      <alignment horizontal="left" vertical="center" wrapText="1"/>
    </xf>
    <xf numFmtId="9" fontId="9" fillId="7" borderId="0" xfId="0" applyNumberFormat="1" applyFont="1" applyFill="1" applyBorder="1" applyAlignment="1">
      <alignment horizontal="center" vertical="center" wrapText="1"/>
    </xf>
    <xf numFmtId="0" fontId="19" fillId="0" borderId="0" xfId="0" applyFont="1" applyAlignment="1">
      <alignment horizontal="left" vertical="center" wrapText="1"/>
    </xf>
    <xf numFmtId="0" fontId="5" fillId="8" borderId="0" xfId="0" applyFont="1" applyFill="1" applyBorder="1" applyAlignment="1" applyProtection="1">
      <alignment horizontal="center" vertical="center" wrapText="1"/>
      <protection locked="0"/>
    </xf>
    <xf numFmtId="9" fontId="9" fillId="7" borderId="0" xfId="0" applyNumberFormat="1" applyFont="1" applyFill="1" applyBorder="1" applyAlignment="1">
      <alignment horizontal="center" vertical="center"/>
    </xf>
    <xf numFmtId="0" fontId="17" fillId="0" borderId="0" xfId="0" applyFont="1" applyAlignment="1">
      <alignment horizontal="left" vertical="center" wrapText="1"/>
    </xf>
    <xf numFmtId="0" fontId="26" fillId="3" borderId="0" xfId="0" applyFont="1" applyFill="1" applyBorder="1" applyAlignment="1">
      <alignment vertical="center" wrapText="1"/>
    </xf>
    <xf numFmtId="0" fontId="17" fillId="0" borderId="0" xfId="0" applyFont="1" applyAlignment="1">
      <alignment horizontal="left" vertical="center" indent="1"/>
    </xf>
    <xf numFmtId="9" fontId="23" fillId="0" borderId="0" xfId="1" applyFont="1" applyAlignment="1">
      <alignment horizontal="center" vertical="center" wrapText="1"/>
    </xf>
    <xf numFmtId="0" fontId="0" fillId="0" borderId="0" xfId="0" applyFill="1"/>
    <xf numFmtId="0" fontId="10" fillId="0" borderId="0" xfId="0" applyFont="1" applyAlignment="1">
      <alignment horizontal="left" vertical="center" wrapText="1"/>
    </xf>
    <xf numFmtId="0" fontId="5" fillId="0" borderId="0" xfId="0" applyFont="1" applyFill="1" applyBorder="1" applyAlignment="1" applyProtection="1">
      <alignment horizontal="left" vertical="center" wrapText="1" indent="1"/>
      <protection locked="0"/>
    </xf>
    <xf numFmtId="0" fontId="11" fillId="0" borderId="0" xfId="0" applyFont="1" applyBorder="1" applyAlignment="1">
      <alignment vertical="center" wrapText="1"/>
    </xf>
    <xf numFmtId="0" fontId="17" fillId="0" borderId="0" xfId="0" applyNumberFormat="1" applyFont="1" applyAlignment="1">
      <alignment horizontal="left" vertical="center" wrapText="1" indent="1"/>
    </xf>
    <xf numFmtId="0" fontId="23" fillId="0" borderId="0" xfId="0" applyFont="1" applyFill="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7" fillId="0" borderId="0" xfId="0" applyFont="1" applyAlignment="1">
      <alignment vertical="center" wrapText="1"/>
    </xf>
    <xf numFmtId="0" fontId="31" fillId="0" borderId="0" xfId="0" applyFont="1"/>
    <xf numFmtId="0" fontId="32" fillId="0" borderId="0" xfId="0" applyFont="1"/>
    <xf numFmtId="0" fontId="33" fillId="0" borderId="0" xfId="0" applyFont="1" applyAlignment="1">
      <alignment vertical="center"/>
    </xf>
    <xf numFmtId="0" fontId="21" fillId="0" borderId="0" xfId="0" applyFont="1"/>
    <xf numFmtId="0" fontId="5" fillId="2" borderId="0" xfId="0" applyFont="1" applyFill="1" applyBorder="1" applyAlignment="1" applyProtection="1">
      <alignment horizontal="center"/>
      <protection locked="0"/>
    </xf>
    <xf numFmtId="0" fontId="5" fillId="0" borderId="0" xfId="0" applyFont="1" applyAlignment="1"/>
    <xf numFmtId="0" fontId="5" fillId="0" borderId="0" xfId="0" applyFont="1" applyFill="1" applyBorder="1" applyAlignment="1">
      <alignment horizontal="center" vertical="center" wrapText="1"/>
    </xf>
    <xf numFmtId="0" fontId="37" fillId="0" borderId="0" xfId="0" applyFont="1" applyAlignment="1">
      <alignment horizontal="left" vertical="center" wrapText="1" indent="1"/>
    </xf>
    <xf numFmtId="0" fontId="31" fillId="0" borderId="0" xfId="0" applyFont="1" applyAlignment="1">
      <alignment horizontal="left" vertical="center" wrapText="1"/>
    </xf>
    <xf numFmtId="0" fontId="5" fillId="0" borderId="0" xfId="0" applyFont="1" applyFill="1" applyBorder="1" applyAlignment="1" applyProtection="1">
      <alignment horizontal="center" vertical="center" wrapText="1"/>
      <protection locked="0"/>
    </xf>
    <xf numFmtId="0" fontId="21" fillId="0" borderId="0" xfId="0" applyFont="1" applyAlignment="1">
      <alignment vertical="center" wrapText="1"/>
    </xf>
    <xf numFmtId="9" fontId="9" fillId="7" borderId="7" xfId="0" applyNumberFormat="1" applyFont="1" applyFill="1" applyBorder="1" applyAlignment="1">
      <alignment horizontal="center" vertical="center" wrapText="1"/>
    </xf>
    <xf numFmtId="0" fontId="20" fillId="7" borderId="0" xfId="0" applyFont="1" applyFill="1" applyAlignment="1">
      <alignment vertical="center" wrapText="1"/>
    </xf>
    <xf numFmtId="9" fontId="9" fillId="11" borderId="7" xfId="0" applyNumberFormat="1" applyFont="1" applyFill="1" applyBorder="1" applyAlignment="1">
      <alignment horizontal="center" vertical="center" wrapText="1"/>
    </xf>
    <xf numFmtId="0" fontId="20" fillId="7" borderId="0" xfId="0" applyFont="1" applyFill="1" applyAlignment="1">
      <alignment horizontal="left" vertical="center" wrapText="1"/>
    </xf>
    <xf numFmtId="0" fontId="12" fillId="0" borderId="4" xfId="0" quotePrefix="1" applyFont="1" applyBorder="1" applyAlignment="1">
      <alignment horizontal="center" vertical="center"/>
    </xf>
    <xf numFmtId="0" fontId="26" fillId="7" borderId="7" xfId="0" applyFont="1" applyFill="1" applyBorder="1" applyAlignment="1">
      <alignment horizontal="left" vertical="center" wrapText="1"/>
    </xf>
    <xf numFmtId="0" fontId="29" fillId="0" borderId="0" xfId="0" applyFont="1"/>
    <xf numFmtId="9" fontId="9" fillId="7" borderId="1" xfId="0" applyNumberFormat="1" applyFont="1" applyFill="1" applyBorder="1" applyAlignment="1">
      <alignment horizontal="center" vertical="center"/>
    </xf>
    <xf numFmtId="9" fontId="9" fillId="7" borderId="3" xfId="0" applyNumberFormat="1" applyFont="1" applyFill="1" applyBorder="1" applyAlignment="1">
      <alignment horizontal="center" vertical="center"/>
    </xf>
    <xf numFmtId="9" fontId="9" fillId="7" borderId="3" xfId="0" applyNumberFormat="1" applyFont="1" applyFill="1" applyBorder="1" applyAlignment="1">
      <alignment horizontal="center" vertical="center" wrapText="1"/>
    </xf>
    <xf numFmtId="0" fontId="21" fillId="0" borderId="0" xfId="0" applyFont="1" applyAlignment="1">
      <alignment horizontal="left" vertical="center" wrapText="1" indent="1"/>
    </xf>
    <xf numFmtId="0" fontId="26" fillId="7" borderId="7" xfId="0" applyFont="1" applyFill="1" applyBorder="1" applyAlignment="1">
      <alignment vertical="center" wrapText="1"/>
    </xf>
    <xf numFmtId="9" fontId="6" fillId="0" borderId="11" xfId="1" applyFont="1" applyBorder="1" applyAlignment="1">
      <alignment horizontal="center" vertical="center"/>
    </xf>
    <xf numFmtId="9" fontId="9" fillId="7" borderId="1" xfId="0" applyNumberFormat="1" applyFont="1" applyFill="1" applyBorder="1" applyAlignment="1">
      <alignment horizontal="center" vertical="center" wrapText="1"/>
    </xf>
    <xf numFmtId="0" fontId="20" fillId="7" borderId="7" xfId="0" applyFont="1" applyFill="1" applyBorder="1" applyAlignment="1">
      <alignment vertical="center" wrapText="1"/>
    </xf>
    <xf numFmtId="0" fontId="37" fillId="0" borderId="0" xfId="0" applyFont="1" applyFill="1" applyAlignment="1">
      <alignment horizontal="left" vertical="center" wrapText="1"/>
    </xf>
    <xf numFmtId="0" fontId="11" fillId="0" borderId="11" xfId="0" applyFont="1" applyBorder="1" applyAlignment="1">
      <alignment horizontal="center" vertical="center"/>
    </xf>
    <xf numFmtId="0" fontId="11" fillId="0" borderId="0" xfId="0" applyFont="1" applyAlignment="1">
      <alignment horizontal="left" vertical="center"/>
    </xf>
    <xf numFmtId="9" fontId="5" fillId="0" borderId="0" xfId="1" applyFont="1" applyAlignment="1">
      <alignment horizontal="center" vertical="center"/>
    </xf>
    <xf numFmtId="9" fontId="6" fillId="0" borderId="0" xfId="1" applyFont="1" applyAlignment="1">
      <alignment horizontal="center" vertical="center" wrapText="1"/>
    </xf>
    <xf numFmtId="0" fontId="21" fillId="0" borderId="0" xfId="0" applyFont="1" applyFill="1" applyAlignment="1">
      <alignment vertical="center"/>
    </xf>
    <xf numFmtId="0" fontId="11" fillId="0" borderId="0" xfId="0" applyFont="1" applyAlignment="1">
      <alignment horizontal="left" wrapText="1"/>
    </xf>
    <xf numFmtId="0" fontId="8" fillId="7" borderId="0" xfId="0" applyFont="1" applyFill="1" applyAlignment="1">
      <alignment horizontal="left" vertical="center" wrapText="1"/>
    </xf>
    <xf numFmtId="0" fontId="41" fillId="7" borderId="0" xfId="0" applyFont="1" applyFill="1" applyAlignment="1">
      <alignment horizontal="center"/>
    </xf>
    <xf numFmtId="9" fontId="5" fillId="3" borderId="0" xfId="0" applyNumberFormat="1" applyFont="1" applyFill="1" applyAlignment="1">
      <alignment horizontal="center" vertical="center"/>
    </xf>
    <xf numFmtId="0" fontId="5" fillId="0" borderId="0" xfId="0" applyFont="1" applyFill="1"/>
    <xf numFmtId="0" fontId="5" fillId="0" borderId="0" xfId="0" applyFont="1"/>
    <xf numFmtId="0" fontId="5" fillId="0" borderId="0" xfId="0" applyFont="1" applyFill="1" applyBorder="1" applyAlignment="1">
      <alignment horizontal="center" vertical="center"/>
    </xf>
    <xf numFmtId="0" fontId="5" fillId="0" borderId="18" xfId="0" applyFont="1" applyFill="1" applyBorder="1" applyAlignment="1">
      <alignment horizontal="center" vertical="center" wrapText="1"/>
    </xf>
    <xf numFmtId="0" fontId="42" fillId="0" borderId="4" xfId="0" applyFont="1" applyBorder="1" applyAlignment="1">
      <alignment horizontal="center"/>
    </xf>
    <xf numFmtId="0" fontId="5" fillId="0" borderId="0" xfId="0" applyFont="1" applyBorder="1" applyAlignment="1">
      <alignment vertical="center"/>
    </xf>
    <xf numFmtId="0" fontId="5" fillId="0" borderId="0" xfId="0" applyFont="1" applyFill="1" applyBorder="1" applyAlignment="1">
      <alignment vertical="center"/>
    </xf>
    <xf numFmtId="0" fontId="43" fillId="3" borderId="0" xfId="0" applyFont="1" applyFill="1" applyAlignment="1">
      <alignment vertical="center" wrapText="1"/>
    </xf>
    <xf numFmtId="0" fontId="5" fillId="0" borderId="20" xfId="0" applyFont="1" applyFill="1" applyBorder="1" applyAlignment="1">
      <alignment horizontal="center" vertical="center" wrapText="1"/>
    </xf>
    <xf numFmtId="0" fontId="11" fillId="0" borderId="0" xfId="0" applyFont="1" applyAlignment="1">
      <alignment horizontal="center"/>
    </xf>
    <xf numFmtId="9" fontId="11" fillId="0" borderId="0" xfId="0" applyNumberFormat="1" applyFont="1" applyAlignment="1">
      <alignment vertical="center"/>
    </xf>
    <xf numFmtId="0" fontId="5" fillId="5" borderId="0" xfId="0" applyFont="1" applyFill="1" applyBorder="1" applyAlignment="1" applyProtection="1">
      <alignment horizontal="center" vertical="center" wrapText="1"/>
      <protection locked="0"/>
    </xf>
    <xf numFmtId="0" fontId="5" fillId="0" borderId="0" xfId="0" applyFont="1" applyBorder="1" applyAlignment="1">
      <alignment horizontal="left" vertical="center" indent="1"/>
    </xf>
    <xf numFmtId="9" fontId="0" fillId="0" borderId="0" xfId="0" applyNumberFormat="1" applyAlignment="1">
      <alignment horizontal="center"/>
    </xf>
    <xf numFmtId="0" fontId="8" fillId="3" borderId="3" xfId="0" applyFont="1" applyFill="1" applyBorder="1" applyAlignment="1">
      <alignment vertical="center" wrapText="1"/>
    </xf>
    <xf numFmtId="0" fontId="8" fillId="3" borderId="18" xfId="0" applyFont="1" applyFill="1" applyBorder="1" applyAlignment="1">
      <alignment vertical="center" wrapText="1"/>
    </xf>
    <xf numFmtId="0" fontId="20" fillId="3" borderId="18" xfId="0" applyFont="1" applyFill="1" applyBorder="1" applyAlignment="1">
      <alignment vertical="center" wrapText="1"/>
    </xf>
    <xf numFmtId="0" fontId="30" fillId="0" borderId="16" xfId="0" applyFont="1" applyBorder="1" applyAlignment="1">
      <alignment horizontal="left" vertical="center" wrapText="1"/>
    </xf>
    <xf numFmtId="0" fontId="6" fillId="0" borderId="26" xfId="0" applyFont="1" applyFill="1" applyBorder="1" applyAlignment="1">
      <alignment vertical="center" wrapText="1"/>
    </xf>
    <xf numFmtId="0" fontId="6" fillId="0" borderId="18" xfId="0" applyFont="1" applyFill="1" applyBorder="1" applyAlignment="1">
      <alignment vertical="center" wrapText="1"/>
    </xf>
    <xf numFmtId="0" fontId="12" fillId="0" borderId="4" xfId="0" applyFont="1" applyFill="1" applyBorder="1" applyAlignment="1">
      <alignment horizontal="center" vertical="center"/>
    </xf>
    <xf numFmtId="0" fontId="12" fillId="0" borderId="4" xfId="0" quotePrefix="1" applyFont="1" applyFill="1" applyBorder="1" applyAlignment="1">
      <alignment horizontal="center" vertical="center"/>
    </xf>
    <xf numFmtId="0" fontId="51" fillId="0" borderId="0" xfId="0" applyFont="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0" fillId="0" borderId="0" xfId="0" applyFill="1" applyAlignment="1">
      <alignment horizontal="center" wrapText="1"/>
    </xf>
    <xf numFmtId="1" fontId="5" fillId="0" borderId="0" xfId="1" applyNumberFormat="1" applyFont="1" applyFill="1" applyAlignment="1">
      <alignment horizontal="center" vertical="center"/>
    </xf>
    <xf numFmtId="9" fontId="21" fillId="0" borderId="0" xfId="1" applyFont="1" applyFill="1" applyAlignment="1">
      <alignment horizontal="center"/>
    </xf>
    <xf numFmtId="0" fontId="0" fillId="0" borderId="0" xfId="0" applyFont="1" applyFill="1"/>
    <xf numFmtId="9" fontId="5" fillId="0" borderId="0" xfId="1" applyFont="1" applyFill="1" applyAlignment="1">
      <alignment horizontal="center" vertical="center"/>
    </xf>
    <xf numFmtId="0" fontId="21" fillId="0" borderId="0" xfId="0" applyFont="1" applyAlignment="1">
      <alignment horizontal="left" vertical="center" wrapText="1"/>
    </xf>
    <xf numFmtId="0" fontId="7" fillId="0" borderId="0" xfId="0" applyFont="1" applyAlignment="1">
      <alignment horizontal="left"/>
    </xf>
    <xf numFmtId="0" fontId="37" fillId="0" borderId="0" xfId="0" applyFont="1" applyAlignment="1">
      <alignment vertical="center" wrapText="1"/>
    </xf>
    <xf numFmtId="0" fontId="0" fillId="0" borderId="0" xfId="0" applyAlignment="1">
      <alignment horizontal="center"/>
    </xf>
    <xf numFmtId="0" fontId="21" fillId="0" borderId="11" xfId="0" applyFont="1" applyBorder="1" applyAlignment="1">
      <alignment vertical="center" wrapText="1"/>
    </xf>
    <xf numFmtId="0" fontId="34" fillId="0" borderId="0" xfId="0" applyFont="1" applyAlignment="1">
      <alignment horizontal="left" vertical="center" wrapText="1"/>
    </xf>
    <xf numFmtId="0" fontId="53" fillId="13" borderId="31" xfId="0" applyFont="1" applyFill="1" applyBorder="1" applyAlignment="1">
      <alignment horizontal="center" vertical="center" wrapText="1"/>
    </xf>
    <xf numFmtId="0" fontId="53" fillId="13" borderId="13" xfId="0" applyFont="1" applyFill="1" applyBorder="1" applyAlignment="1">
      <alignment horizontal="center" vertical="center" wrapText="1"/>
    </xf>
    <xf numFmtId="0" fontId="53" fillId="13" borderId="30" xfId="0" applyFont="1" applyFill="1" applyBorder="1" applyAlignment="1">
      <alignment horizontal="center" vertical="center" wrapText="1"/>
    </xf>
    <xf numFmtId="0" fontId="40" fillId="0" borderId="13" xfId="0" applyFont="1" applyBorder="1" applyAlignment="1">
      <alignment vertical="center" wrapText="1"/>
    </xf>
    <xf numFmtId="0" fontId="40" fillId="0" borderId="30" xfId="0" applyFont="1" applyBorder="1" applyAlignment="1">
      <alignment horizontal="center" vertical="center" wrapText="1"/>
    </xf>
    <xf numFmtId="0" fontId="54" fillId="0" borderId="30" xfId="0" applyFont="1" applyBorder="1" applyAlignment="1">
      <alignment horizontal="center" vertical="center" wrapText="1"/>
    </xf>
    <xf numFmtId="0" fontId="40" fillId="0" borderId="30" xfId="0" applyFont="1" applyBorder="1" applyAlignment="1">
      <alignment vertical="center" wrapText="1"/>
    </xf>
    <xf numFmtId="0" fontId="54" fillId="0" borderId="31" xfId="0" applyFont="1" applyBorder="1" applyAlignment="1">
      <alignment horizontal="center" vertical="center" wrapText="1"/>
    </xf>
    <xf numFmtId="0" fontId="40" fillId="0" borderId="31" xfId="0" applyFont="1" applyBorder="1" applyAlignment="1">
      <alignment horizontal="center" vertical="center" wrapText="1"/>
    </xf>
    <xf numFmtId="0" fontId="53" fillId="0" borderId="12" xfId="0" applyFont="1" applyFill="1" applyBorder="1" applyAlignment="1">
      <alignment horizontal="center" vertical="center" wrapText="1"/>
    </xf>
    <xf numFmtId="0" fontId="54" fillId="0" borderId="12"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2" fillId="0" borderId="4" xfId="0" quotePrefix="1" applyFont="1" applyBorder="1" applyAlignment="1">
      <alignment horizontal="center" vertical="center"/>
    </xf>
    <xf numFmtId="0" fontId="21" fillId="0" borderId="0" xfId="0" applyFont="1" applyFill="1" applyAlignment="1">
      <alignment horizontal="left" vertical="center" wrapText="1"/>
    </xf>
    <xf numFmtId="0" fontId="5" fillId="0" borderId="0" xfId="0" applyFont="1" applyAlignment="1">
      <alignment horizontal="left" vertical="center"/>
    </xf>
    <xf numFmtId="0" fontId="31" fillId="0" borderId="0" xfId="0" applyFont="1" applyBorder="1" applyAlignment="1">
      <alignment horizontal="left" vertical="center" indent="1"/>
    </xf>
    <xf numFmtId="0" fontId="52" fillId="0" borderId="0" xfId="0" applyFont="1" applyBorder="1" applyAlignment="1">
      <alignment horizontal="left" vertical="center" indent="1"/>
    </xf>
    <xf numFmtId="0" fontId="56" fillId="0" borderId="0" xfId="0" applyFont="1"/>
    <xf numFmtId="0" fontId="31" fillId="0" borderId="0" xfId="0" applyFont="1" applyBorder="1" applyAlignment="1">
      <alignment vertical="center"/>
    </xf>
    <xf numFmtId="0" fontId="28" fillId="0" borderId="0" xfId="0" applyFont="1" applyAlignment="1">
      <alignment horizontal="left" vertical="center" wrapText="1"/>
    </xf>
    <xf numFmtId="0" fontId="14" fillId="0" borderId="4" xfId="0" quotePrefix="1" applyFont="1" applyBorder="1" applyAlignment="1">
      <alignment horizontal="center" vertical="center"/>
    </xf>
    <xf numFmtId="0" fontId="21" fillId="0" borderId="0" xfId="0" applyNumberFormat="1" applyFont="1" applyAlignment="1">
      <alignment horizontal="left" vertical="center" wrapText="1"/>
    </xf>
    <xf numFmtId="0" fontId="40" fillId="0" borderId="30" xfId="0" quotePrefix="1" applyNumberFormat="1" applyFont="1" applyBorder="1" applyAlignment="1">
      <alignment horizontal="center" vertical="center" wrapText="1"/>
    </xf>
    <xf numFmtId="0" fontId="21" fillId="0" borderId="0" xfId="0" applyFont="1" applyAlignment="1">
      <alignment horizontal="center" vertical="center"/>
    </xf>
    <xf numFmtId="9" fontId="0" fillId="0" borderId="0" xfId="0" applyNumberFormat="1"/>
    <xf numFmtId="0" fontId="19" fillId="0" borderId="0" xfId="0" applyFont="1" applyAlignment="1">
      <alignment horizontal="center"/>
    </xf>
    <xf numFmtId="0" fontId="14" fillId="7" borderId="4" xfId="0" applyFont="1" applyFill="1" applyBorder="1" applyAlignment="1">
      <alignment horizontal="center" vertical="center"/>
    </xf>
    <xf numFmtId="0" fontId="12" fillId="7" borderId="4" xfId="0" applyFont="1" applyFill="1" applyBorder="1" applyAlignment="1">
      <alignment horizontal="center" vertical="center"/>
    </xf>
    <xf numFmtId="0" fontId="16" fillId="4" borderId="1" xfId="0" applyFont="1" applyFill="1" applyBorder="1" applyAlignment="1">
      <alignment horizontal="left" vertical="center" wrapText="1"/>
    </xf>
    <xf numFmtId="0" fontId="5" fillId="0" borderId="0" xfId="0" applyFont="1" applyBorder="1" applyAlignment="1">
      <alignment vertical="center" wrapText="1"/>
    </xf>
    <xf numFmtId="0" fontId="11" fillId="0" borderId="11" xfId="0" applyFont="1" applyBorder="1" applyAlignment="1">
      <alignment vertical="center" wrapText="1"/>
    </xf>
    <xf numFmtId="0" fontId="21" fillId="0" borderId="0" xfId="0" applyFont="1" applyAlignment="1">
      <alignment wrapText="1"/>
    </xf>
    <xf numFmtId="0" fontId="56" fillId="0" borderId="0" xfId="0" applyFont="1" applyAlignment="1">
      <alignment wrapText="1"/>
    </xf>
    <xf numFmtId="0" fontId="11" fillId="0" borderId="1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vertical="center" wrapText="1"/>
    </xf>
    <xf numFmtId="0" fontId="19" fillId="0" borderId="0" xfId="0" applyFont="1" applyAlignment="1">
      <alignment horizontal="left"/>
    </xf>
    <xf numFmtId="1" fontId="57" fillId="0" borderId="0" xfId="0" applyNumberFormat="1" applyFont="1" applyBorder="1" applyAlignment="1">
      <alignment horizontal="center" vertical="center"/>
    </xf>
    <xf numFmtId="0" fontId="57" fillId="0" borderId="0" xfId="0" applyFont="1" applyAlignment="1"/>
    <xf numFmtId="0" fontId="5" fillId="9" borderId="0" xfId="0" applyFont="1" applyFill="1" applyBorder="1" applyAlignment="1" applyProtection="1">
      <alignment horizontal="center" vertical="center" wrapText="1"/>
      <protection locked="0"/>
    </xf>
    <xf numFmtId="9" fontId="5" fillId="0" borderId="0" xfId="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21" fillId="0" borderId="0" xfId="0" applyFont="1" applyFill="1" applyAlignment="1">
      <alignment vertical="center" wrapText="1"/>
    </xf>
    <xf numFmtId="0" fontId="19" fillId="0" borderId="0" xfId="0" applyFont="1" applyAlignment="1">
      <alignment horizontal="center" vertical="center"/>
    </xf>
    <xf numFmtId="0" fontId="21" fillId="0" borderId="0" xfId="0" applyNumberFormat="1" applyFont="1" applyAlignment="1">
      <alignment horizontal="left" vertical="center" wrapText="1" indent="1"/>
    </xf>
    <xf numFmtId="0" fontId="12" fillId="0" borderId="0" xfId="0" applyFont="1" applyBorder="1" applyAlignment="1">
      <alignment horizontal="center" vertical="center"/>
    </xf>
    <xf numFmtId="0" fontId="60" fillId="15" borderId="0" xfId="24" applyFont="1" applyAlignment="1">
      <alignment horizontal="center" vertical="center"/>
    </xf>
    <xf numFmtId="0" fontId="6" fillId="0" borderId="0" xfId="0" applyFont="1" applyBorder="1"/>
    <xf numFmtId="0" fontId="3" fillId="0" borderId="0" xfId="0" applyFont="1" applyAlignment="1">
      <alignment horizontal="center"/>
    </xf>
    <xf numFmtId="0" fontId="28" fillId="0" borderId="0" xfId="0" applyFont="1" applyAlignment="1">
      <alignment vertical="center"/>
    </xf>
    <xf numFmtId="0" fontId="19" fillId="0" borderId="0" xfId="0" applyFont="1" applyAlignment="1">
      <alignment vertical="center"/>
    </xf>
    <xf numFmtId="0" fontId="11" fillId="0" borderId="11" xfId="0" applyFont="1" applyBorder="1" applyAlignment="1">
      <alignment horizontal="center" vertical="center" wrapText="1"/>
    </xf>
    <xf numFmtId="0" fontId="19" fillId="0" borderId="0" xfId="0" applyFont="1" applyAlignment="1">
      <alignment horizontal="right" vertical="center"/>
    </xf>
    <xf numFmtId="0" fontId="28" fillId="0" borderId="0" xfId="0" applyFont="1" applyFill="1" applyAlignment="1">
      <alignment horizontal="center" vertical="center"/>
    </xf>
    <xf numFmtId="0" fontId="19" fillId="0" borderId="0" xfId="0" applyFont="1" applyAlignment="1">
      <alignment horizontal="center" vertical="center" wrapText="1"/>
    </xf>
    <xf numFmtId="0" fontId="19" fillId="0" borderId="0" xfId="0" applyFont="1" applyFill="1" applyAlignment="1">
      <alignment horizontal="left" vertical="center"/>
    </xf>
    <xf numFmtId="0" fontId="6" fillId="0" borderId="0" xfId="0" applyFont="1" applyFill="1" applyBorder="1" applyAlignment="1">
      <alignment horizontal="left" vertical="center"/>
    </xf>
    <xf numFmtId="2" fontId="12" fillId="0" borderId="4" xfId="0" applyNumberFormat="1" applyFont="1" applyBorder="1" applyAlignment="1">
      <alignment horizontal="center" vertical="center"/>
    </xf>
    <xf numFmtId="0" fontId="65" fillId="0" borderId="0" xfId="0" applyFont="1" applyAlignment="1">
      <alignment horizontal="left" vertical="center" wrapText="1"/>
    </xf>
    <xf numFmtId="0" fontId="16" fillId="0" borderId="0" xfId="0" applyFont="1" applyAlignment="1">
      <alignment horizontal="left" vertical="center" wrapText="1"/>
    </xf>
    <xf numFmtId="0" fontId="56" fillId="0" borderId="0" xfId="0" applyFont="1" applyAlignment="1">
      <alignment vertical="center"/>
    </xf>
    <xf numFmtId="0" fontId="21" fillId="0" borderId="11" xfId="0" applyFont="1" applyFill="1" applyBorder="1" applyAlignment="1">
      <alignment horizontal="left" vertical="center" wrapText="1"/>
    </xf>
    <xf numFmtId="0" fontId="16" fillId="0" borderId="0" xfId="0" applyFont="1" applyAlignment="1">
      <alignment vertical="center" wrapText="1"/>
    </xf>
    <xf numFmtId="0" fontId="56" fillId="0" borderId="0" xfId="0" applyFont="1" applyAlignment="1">
      <alignment vertical="center" wrapText="1"/>
    </xf>
    <xf numFmtId="2" fontId="12" fillId="0" borderId="4" xfId="0" quotePrefix="1" applyNumberFormat="1" applyFont="1" applyFill="1" applyBorder="1" applyAlignment="1">
      <alignment horizontal="center" vertical="center"/>
    </xf>
    <xf numFmtId="9" fontId="9" fillId="17" borderId="7" xfId="0" applyNumberFormat="1" applyFont="1" applyFill="1" applyBorder="1" applyAlignment="1">
      <alignment horizontal="center" vertical="center" wrapText="1"/>
    </xf>
    <xf numFmtId="0" fontId="5" fillId="0" borderId="0" xfId="0" applyFont="1" applyBorder="1" applyAlignment="1">
      <alignment horizontal="left" vertical="center"/>
    </xf>
    <xf numFmtId="0" fontId="42" fillId="7" borderId="4" xfId="0" applyFont="1" applyFill="1" applyBorder="1" applyAlignment="1">
      <alignment horizontal="center"/>
    </xf>
    <xf numFmtId="0" fontId="18" fillId="0" borderId="0" xfId="0" applyFont="1" applyAlignment="1">
      <alignment vertical="center"/>
    </xf>
    <xf numFmtId="0" fontId="0" fillId="0" borderId="0" xfId="0" applyAlignment="1">
      <alignment horizontal="center"/>
    </xf>
    <xf numFmtId="0" fontId="68" fillId="0" borderId="0" xfId="0" applyFont="1" applyAlignment="1">
      <alignment vertical="center"/>
    </xf>
    <xf numFmtId="0" fontId="11" fillId="0" borderId="11" xfId="0" applyFont="1" applyFill="1" applyBorder="1" applyAlignment="1">
      <alignment horizontal="left" vertical="center" wrapText="1"/>
    </xf>
    <xf numFmtId="9" fontId="20" fillId="7" borderId="15" xfId="0" applyNumberFormat="1" applyFont="1" applyFill="1" applyBorder="1" applyAlignment="1">
      <alignment horizontal="left" vertical="center" wrapText="1"/>
    </xf>
    <xf numFmtId="1" fontId="46" fillId="3" borderId="7" xfId="0" applyNumberFormat="1" applyFont="1" applyFill="1" applyBorder="1" applyAlignment="1">
      <alignment horizontal="center" vertical="center" wrapText="1"/>
    </xf>
    <xf numFmtId="1" fontId="72" fillId="7" borderId="0" xfId="1" applyNumberFormat="1" applyFont="1" applyFill="1" applyBorder="1" applyAlignment="1">
      <alignment horizontal="center" vertical="center" wrapText="1"/>
    </xf>
    <xf numFmtId="0" fontId="73" fillId="0" borderId="0" xfId="0" applyFont="1"/>
    <xf numFmtId="0" fontId="74" fillId="0" borderId="0" xfId="0" applyFont="1" applyAlignment="1">
      <alignment vertical="center"/>
    </xf>
    <xf numFmtId="0" fontId="75" fillId="0" borderId="0" xfId="0" applyFont="1"/>
    <xf numFmtId="0" fontId="56" fillId="0" borderId="0" xfId="0" applyFont="1" applyAlignment="1">
      <alignment horizontal="center"/>
    </xf>
    <xf numFmtId="0" fontId="5" fillId="7" borderId="0" xfId="0" applyFont="1" applyFill="1" applyAlignment="1">
      <alignment horizontal="center"/>
    </xf>
    <xf numFmtId="0" fontId="6" fillId="0" borderId="0" xfId="0" applyFont="1"/>
    <xf numFmtId="9" fontId="16" fillId="7" borderId="0" xfId="0" applyNumberFormat="1" applyFont="1" applyFill="1" applyBorder="1" applyAlignment="1">
      <alignment horizontal="center" vertical="center" wrapText="1"/>
    </xf>
    <xf numFmtId="9" fontId="16" fillId="7" borderId="3" xfId="0" applyNumberFormat="1" applyFont="1" applyFill="1" applyBorder="1" applyAlignment="1">
      <alignment horizontal="center" vertical="center"/>
    </xf>
    <xf numFmtId="0" fontId="6" fillId="0" borderId="28" xfId="0" applyFont="1" applyBorder="1" applyAlignment="1">
      <alignment horizontal="left" vertical="center" wrapText="1"/>
    </xf>
    <xf numFmtId="0" fontId="31" fillId="0" borderId="44" xfId="0" applyFont="1" applyBorder="1"/>
    <xf numFmtId="0" fontId="31" fillId="0" borderId="45" xfId="0" applyFont="1" applyBorder="1"/>
    <xf numFmtId="0" fontId="56" fillId="0" borderId="45" xfId="0" applyFont="1" applyBorder="1"/>
    <xf numFmtId="0" fontId="5" fillId="0" borderId="45" xfId="0" applyFont="1" applyFill="1" applyBorder="1" applyAlignment="1">
      <alignment horizontal="center" vertical="center"/>
    </xf>
    <xf numFmtId="0" fontId="5" fillId="0" borderId="45" xfId="0" applyFont="1" applyBorder="1"/>
    <xf numFmtId="0" fontId="0" fillId="0" borderId="45" xfId="0" applyBorder="1"/>
    <xf numFmtId="9" fontId="5" fillId="0" borderId="47" xfId="1" applyFont="1" applyFill="1" applyBorder="1" applyAlignment="1" applyProtection="1">
      <alignment horizontal="center" vertical="center" wrapText="1"/>
      <protection locked="0"/>
    </xf>
    <xf numFmtId="0" fontId="10" fillId="0" borderId="0" xfId="0" applyFont="1" applyAlignment="1">
      <alignment vertical="center"/>
    </xf>
    <xf numFmtId="0" fontId="75" fillId="0" borderId="0" xfId="0" applyFont="1" applyAlignment="1">
      <alignment vertical="center"/>
    </xf>
    <xf numFmtId="0" fontId="5" fillId="0" borderId="0" xfId="0" applyFont="1" applyAlignment="1">
      <alignment vertical="center"/>
    </xf>
    <xf numFmtId="0" fontId="5" fillId="0" borderId="47" xfId="0" applyFont="1" applyBorder="1" applyAlignment="1">
      <alignment vertical="center"/>
    </xf>
    <xf numFmtId="0" fontId="14" fillId="0" borderId="4" xfId="0" quotePrefix="1" applyFont="1" applyFill="1" applyBorder="1" applyAlignment="1">
      <alignment horizontal="center" vertical="center"/>
    </xf>
    <xf numFmtId="0" fontId="10" fillId="0" borderId="0" xfId="0" applyFont="1" applyAlignment="1">
      <alignment vertical="center" wrapText="1"/>
    </xf>
    <xf numFmtId="0" fontId="10" fillId="0" borderId="47" xfId="0" applyFont="1" applyBorder="1" applyAlignment="1">
      <alignment vertical="center" wrapText="1"/>
    </xf>
    <xf numFmtId="0" fontId="42" fillId="0" borderId="4" xfId="0" quotePrefix="1" applyFont="1" applyFill="1" applyBorder="1" applyAlignment="1">
      <alignment horizontal="center" vertical="center"/>
    </xf>
    <xf numFmtId="9" fontId="56" fillId="0" borderId="0" xfId="1" applyFont="1"/>
    <xf numFmtId="0" fontId="76" fillId="0" borderId="0" xfId="0" applyFont="1" applyAlignment="1">
      <alignment vertical="center" wrapText="1"/>
    </xf>
    <xf numFmtId="9" fontId="6" fillId="0" borderId="0" xfId="1" applyFont="1" applyFill="1" applyAlignment="1">
      <alignment horizontal="center" vertical="center"/>
    </xf>
    <xf numFmtId="0" fontId="0" fillId="0" borderId="48" xfId="0" applyBorder="1"/>
    <xf numFmtId="0" fontId="0" fillId="0" borderId="45" xfId="0" applyBorder="1" applyAlignment="1">
      <alignment wrapText="1"/>
    </xf>
    <xf numFmtId="0" fontId="0" fillId="0" borderId="49" xfId="0" applyBorder="1"/>
    <xf numFmtId="0" fontId="32" fillId="0" borderId="49" xfId="0" applyFont="1" applyBorder="1"/>
    <xf numFmtId="0" fontId="0" fillId="0" borderId="45" xfId="0" applyBorder="1" applyAlignment="1"/>
    <xf numFmtId="0" fontId="0" fillId="0" borderId="0" xfId="0" applyAlignment="1">
      <alignment horizontal="center" vertical="center"/>
    </xf>
    <xf numFmtId="0" fontId="69" fillId="0" borderId="0" xfId="0" applyFont="1" applyAlignment="1">
      <alignment vertical="center"/>
    </xf>
    <xf numFmtId="0" fontId="5" fillId="0" borderId="11" xfId="0" applyFont="1" applyBorder="1" applyAlignment="1">
      <alignment horizontal="center" vertical="center"/>
    </xf>
    <xf numFmtId="0" fontId="5" fillId="9" borderId="11"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11" fillId="0" borderId="11" xfId="0" applyFont="1" applyBorder="1" applyAlignment="1">
      <alignment horizontal="left" vertical="center" wrapText="1" indent="1"/>
    </xf>
    <xf numFmtId="0" fontId="14" fillId="0" borderId="11" xfId="0" applyFont="1" applyBorder="1" applyAlignment="1">
      <alignment horizontal="center" vertical="center"/>
    </xf>
    <xf numFmtId="0" fontId="11" fillId="0" borderId="11" xfId="0" applyFont="1" applyFill="1" applyBorder="1" applyAlignment="1">
      <alignment horizontal="left" vertical="center" wrapText="1" indent="1"/>
    </xf>
    <xf numFmtId="0" fontId="21" fillId="0" borderId="11" xfId="0" applyFont="1" applyBorder="1" applyAlignment="1">
      <alignment horizontal="left" vertical="center" wrapText="1" indent="1"/>
    </xf>
    <xf numFmtId="0" fontId="20" fillId="7" borderId="0" xfId="0" applyFont="1" applyFill="1" applyBorder="1" applyAlignment="1">
      <alignment vertical="center" wrapText="1"/>
    </xf>
    <xf numFmtId="0" fontId="14" fillId="0" borderId="11" xfId="0" quotePrefix="1" applyFont="1" applyBorder="1" applyAlignment="1">
      <alignment horizontal="center" vertical="center"/>
    </xf>
    <xf numFmtId="9" fontId="5" fillId="0" borderId="0" xfId="1" applyFont="1" applyAlignment="1">
      <alignment horizontal="center" vertical="center" wrapText="1"/>
    </xf>
    <xf numFmtId="0" fontId="21" fillId="0" borderId="0" xfId="0" applyFont="1" applyFill="1" applyAlignment="1">
      <alignment horizontal="left" vertical="center"/>
    </xf>
    <xf numFmtId="0" fontId="78" fillId="0" borderId="0" xfId="0" applyFont="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0" xfId="0" applyFont="1" applyAlignment="1">
      <alignment vertical="center" wrapText="1"/>
    </xf>
    <xf numFmtId="0" fontId="66" fillId="0" borderId="0" xfId="0" applyFont="1" applyBorder="1" applyAlignment="1">
      <alignment vertical="center" wrapText="1"/>
    </xf>
    <xf numFmtId="0" fontId="66" fillId="0" borderId="0" xfId="0" applyFont="1" applyAlignment="1">
      <alignment wrapText="1"/>
    </xf>
    <xf numFmtId="0" fontId="66" fillId="0" borderId="0" xfId="0" applyFont="1" applyBorder="1" applyAlignment="1">
      <alignment horizontal="center" vertical="center" wrapText="1"/>
    </xf>
    <xf numFmtId="0" fontId="66" fillId="0" borderId="0" xfId="0" applyFont="1" applyBorder="1" applyAlignment="1">
      <alignment wrapText="1"/>
    </xf>
    <xf numFmtId="0" fontId="40" fillId="0" borderId="0" xfId="0" applyFont="1" applyBorder="1" applyAlignment="1">
      <alignment vertical="center" wrapText="1"/>
    </xf>
    <xf numFmtId="0" fontId="40" fillId="0" borderId="0"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0" fontId="28" fillId="0" borderId="0" xfId="0" applyFont="1" applyAlignment="1">
      <alignment horizontal="center" vertical="center"/>
    </xf>
    <xf numFmtId="0" fontId="80" fillId="0" borderId="0" xfId="0" applyFont="1" applyAlignment="1">
      <alignment vertical="center"/>
    </xf>
    <xf numFmtId="0" fontId="4" fillId="0" borderId="45" xfId="0" applyFont="1" applyBorder="1" applyAlignment="1">
      <alignment horizontal="left" vertical="center" wrapText="1"/>
    </xf>
    <xf numFmtId="0" fontId="81" fillId="0" borderId="0" xfId="0" applyFont="1" applyAlignment="1">
      <alignment horizontal="center" vertical="center"/>
    </xf>
    <xf numFmtId="0" fontId="82" fillId="0" borderId="0" xfId="0" applyFont="1" applyAlignment="1">
      <alignment horizontal="center" vertical="center"/>
    </xf>
    <xf numFmtId="0" fontId="49" fillId="0" borderId="0" xfId="0" applyFont="1" applyAlignment="1">
      <alignment horizontal="left"/>
    </xf>
    <xf numFmtId="0" fontId="0" fillId="0" borderId="0" xfId="0" applyAlignment="1">
      <alignment textRotation="90"/>
    </xf>
    <xf numFmtId="9" fontId="11" fillId="0" borderId="11" xfId="0" applyNumberFormat="1" applyFont="1" applyBorder="1" applyAlignment="1">
      <alignment horizontal="center"/>
    </xf>
    <xf numFmtId="0" fontId="0" fillId="0" borderId="54" xfId="0" applyBorder="1" applyAlignment="1">
      <alignment horizontal="center"/>
    </xf>
    <xf numFmtId="0" fontId="0" fillId="0" borderId="0" xfId="0" applyAlignment="1">
      <alignment horizontal="left"/>
    </xf>
    <xf numFmtId="1" fontId="0" fillId="0" borderId="0" xfId="0" applyNumberFormat="1" applyAlignment="1">
      <alignment horizontal="left"/>
    </xf>
    <xf numFmtId="0" fontId="83" fillId="0" borderId="0" xfId="0" applyFont="1" applyAlignment="1">
      <alignment wrapText="1"/>
    </xf>
    <xf numFmtId="0" fontId="83" fillId="0" borderId="0" xfId="0" applyFont="1" applyAlignment="1">
      <alignment horizontal="left" vertical="center" wrapText="1"/>
    </xf>
    <xf numFmtId="0" fontId="83" fillId="0" borderId="0" xfId="0" applyFont="1" applyAlignment="1">
      <alignment vertical="center" wrapText="1"/>
    </xf>
    <xf numFmtId="0" fontId="83" fillId="0" borderId="0" xfId="0" applyFont="1" applyAlignment="1">
      <alignment horizontal="left" vertical="top" wrapText="1"/>
    </xf>
    <xf numFmtId="0" fontId="21" fillId="0" borderId="0" xfId="0" applyFont="1" applyAlignment="1">
      <alignment horizontal="left" vertical="top" wrapText="1"/>
    </xf>
    <xf numFmtId="0" fontId="83" fillId="0" borderId="0" xfId="0" applyFont="1" applyAlignment="1">
      <alignment horizontal="left" wrapText="1"/>
    </xf>
    <xf numFmtId="0" fontId="21" fillId="0" borderId="0" xfId="0" applyFont="1" applyAlignment="1">
      <alignment horizontal="left" wrapText="1"/>
    </xf>
    <xf numFmtId="0" fontId="84" fillId="0" borderId="0" xfId="0" applyFont="1"/>
    <xf numFmtId="0" fontId="27" fillId="0" borderId="0" xfId="0" applyFont="1" applyAlignment="1">
      <alignment horizontal="center"/>
    </xf>
    <xf numFmtId="0" fontId="0" fillId="0" borderId="0" xfId="0" applyFill="1" applyAlignment="1">
      <alignment horizontal="center"/>
    </xf>
    <xf numFmtId="0" fontId="0" fillId="0" borderId="53" xfId="0" applyBorder="1" applyAlignment="1">
      <alignment horizontal="center" textRotation="90" wrapText="1"/>
    </xf>
    <xf numFmtId="0" fontId="0" fillId="0" borderId="36" xfId="0" applyBorder="1" applyAlignment="1">
      <alignment horizontal="center" textRotation="90" wrapText="1"/>
    </xf>
    <xf numFmtId="0" fontId="0" fillId="0" borderId="52" xfId="0" applyBorder="1" applyAlignment="1">
      <alignment horizontal="center" textRotation="90" wrapText="1"/>
    </xf>
    <xf numFmtId="0" fontId="0" fillId="0" borderId="10" xfId="0" applyBorder="1" applyAlignment="1">
      <alignment horizontal="center" textRotation="90" wrapText="1"/>
    </xf>
    <xf numFmtId="0" fontId="0" fillId="0" borderId="43" xfId="0" applyBorder="1" applyAlignment="1">
      <alignment horizontal="center" textRotation="90" wrapText="1"/>
    </xf>
    <xf numFmtId="0" fontId="0" fillId="0" borderId="25" xfId="0" applyBorder="1" applyAlignment="1">
      <alignment horizontal="center" textRotation="90"/>
    </xf>
    <xf numFmtId="0" fontId="0" fillId="0" borderId="53" xfId="0" applyBorder="1" applyAlignment="1">
      <alignment horizontal="center" textRotation="90"/>
    </xf>
    <xf numFmtId="0" fontId="0" fillId="0" borderId="10" xfId="0" applyBorder="1" applyAlignment="1">
      <alignment horizontal="center" textRotation="90"/>
    </xf>
    <xf numFmtId="0" fontId="0" fillId="0" borderId="36" xfId="0" applyBorder="1" applyAlignment="1">
      <alignment horizontal="center" textRotation="90"/>
    </xf>
    <xf numFmtId="0" fontId="0" fillId="0" borderId="52" xfId="0" applyBorder="1" applyAlignment="1">
      <alignment horizontal="center" textRotation="90"/>
    </xf>
    <xf numFmtId="0" fontId="0" fillId="0" borderId="55" xfId="0" applyBorder="1" applyAlignment="1">
      <alignment horizontal="center" textRotation="90"/>
    </xf>
    <xf numFmtId="2" fontId="0" fillId="0" borderId="0" xfId="0" applyNumberFormat="1" applyAlignment="1">
      <alignment horizontal="center"/>
    </xf>
    <xf numFmtId="1" fontId="0" fillId="0" borderId="0" xfId="0" applyNumberFormat="1" applyAlignment="1">
      <alignment horizontal="center"/>
    </xf>
    <xf numFmtId="0" fontId="0" fillId="0" borderId="52" xfId="0" applyBorder="1" applyAlignment="1">
      <alignment horizontal="left" textRotation="90"/>
    </xf>
    <xf numFmtId="14" fontId="0" fillId="0" borderId="0" xfId="0" applyNumberFormat="1" applyAlignment="1">
      <alignment horizontal="center"/>
    </xf>
    <xf numFmtId="0" fontId="11" fillId="0" borderId="0" xfId="0" applyFont="1" applyFill="1" applyAlignment="1">
      <alignment wrapText="1"/>
    </xf>
    <xf numFmtId="0" fontId="0" fillId="0" borderId="25" xfId="0" applyBorder="1" applyAlignment="1">
      <alignment horizontal="center" textRotation="90" wrapText="1"/>
    </xf>
    <xf numFmtId="0" fontId="0" fillId="0" borderId="52" xfId="0" applyFont="1" applyBorder="1" applyAlignment="1">
      <alignment horizontal="center" textRotation="90" wrapText="1"/>
    </xf>
    <xf numFmtId="0" fontId="65" fillId="0" borderId="0" xfId="0" applyFont="1" applyAlignment="1">
      <alignment horizontal="center" vertical="center" wrapText="1"/>
    </xf>
    <xf numFmtId="0" fontId="0" fillId="0" borderId="18" xfId="0" applyBorder="1"/>
    <xf numFmtId="0" fontId="0" fillId="0" borderId="0" xfId="0" applyFill="1" applyBorder="1"/>
    <xf numFmtId="1" fontId="0" fillId="0" borderId="0" xfId="0" applyNumberFormat="1" applyFill="1" applyAlignment="1">
      <alignment horizontal="center"/>
    </xf>
    <xf numFmtId="0" fontId="0" fillId="0" borderId="0" xfId="0" applyFill="1" applyAlignment="1">
      <alignment horizontal="left"/>
    </xf>
    <xf numFmtId="1" fontId="0" fillId="0" borderId="0" xfId="0" applyNumberFormat="1" applyFill="1" applyAlignment="1">
      <alignment horizontal="left"/>
    </xf>
    <xf numFmtId="0" fontId="0" fillId="0" borderId="0" xfId="0" quotePrefix="1"/>
    <xf numFmtId="2" fontId="0" fillId="0" borderId="0" xfId="0" applyNumberFormat="1" applyFill="1" applyAlignment="1">
      <alignment horizontal="center"/>
    </xf>
    <xf numFmtId="0" fontId="5" fillId="0" borderId="11" xfId="0" applyFont="1" applyBorder="1" applyAlignment="1">
      <alignment vertical="center" wrapText="1"/>
    </xf>
    <xf numFmtId="0" fontId="5" fillId="0" borderId="11" xfId="0" applyFont="1" applyFill="1" applyBorder="1" applyAlignment="1">
      <alignment vertical="center" wrapText="1"/>
    </xf>
    <xf numFmtId="0" fontId="5" fillId="0" borderId="11" xfId="0" applyFont="1" applyBorder="1" applyAlignment="1">
      <alignment horizontal="left" vertical="center" wrapText="1"/>
    </xf>
    <xf numFmtId="0" fontId="17" fillId="0" borderId="0" xfId="0" applyFont="1" applyFill="1" applyBorder="1" applyAlignment="1">
      <alignment horizontal="right" vertical="center" wrapText="1"/>
    </xf>
    <xf numFmtId="0" fontId="0" fillId="0" borderId="45" xfId="0" applyBorder="1" applyAlignment="1">
      <alignment vertical="center"/>
    </xf>
    <xf numFmtId="1" fontId="11" fillId="0" borderId="11" xfId="0" applyNumberFormat="1" applyFont="1" applyBorder="1" applyAlignment="1">
      <alignment horizontal="center" vertical="center"/>
    </xf>
    <xf numFmtId="0" fontId="70" fillId="7" borderId="11" xfId="0" applyFont="1" applyFill="1" applyBorder="1" applyAlignment="1">
      <alignment vertical="center"/>
    </xf>
    <xf numFmtId="9" fontId="0" fillId="0" borderId="0" xfId="0" applyNumberFormat="1" applyAlignment="1">
      <alignment horizontal="center" vertical="center"/>
    </xf>
    <xf numFmtId="9" fontId="71" fillId="0" borderId="0" xfId="0" applyNumberFormat="1" applyFont="1" applyAlignment="1">
      <alignment horizontal="center" vertical="center"/>
    </xf>
    <xf numFmtId="9" fontId="0" fillId="0" borderId="0" xfId="1" applyFont="1" applyAlignment="1">
      <alignment horizontal="center" vertical="center" wrapText="1"/>
    </xf>
    <xf numFmtId="9" fontId="0" fillId="0" borderId="0" xfId="1" applyFont="1" applyAlignment="1">
      <alignment horizontal="center" vertical="center"/>
    </xf>
    <xf numFmtId="9" fontId="71" fillId="0" borderId="0" xfId="1" applyFont="1" applyAlignment="1">
      <alignment horizontal="center" vertical="center"/>
    </xf>
    <xf numFmtId="0" fontId="26" fillId="7" borderId="11" xfId="0" applyFont="1" applyFill="1" applyBorder="1" applyAlignment="1">
      <alignment horizontal="center" vertical="center"/>
    </xf>
    <xf numFmtId="9" fontId="11" fillId="0" borderId="11" xfId="0" applyNumberFormat="1" applyFont="1" applyBorder="1" applyAlignment="1">
      <alignment horizontal="center" vertical="center"/>
    </xf>
    <xf numFmtId="0" fontId="70" fillId="7" borderId="0" xfId="0" applyFont="1" applyFill="1" applyAlignment="1">
      <alignment vertical="center"/>
    </xf>
    <xf numFmtId="0" fontId="11" fillId="0" borderId="22" xfId="0" applyFont="1" applyBorder="1" applyAlignment="1">
      <alignment horizontal="center" vertical="center" wrapText="1"/>
    </xf>
    <xf numFmtId="0" fontId="11" fillId="0" borderId="22" xfId="0" applyFont="1" applyBorder="1" applyAlignment="1">
      <alignment horizontal="center" vertical="center"/>
    </xf>
    <xf numFmtId="0" fontId="13" fillId="0" borderId="0" xfId="0" applyFont="1" applyAlignment="1">
      <alignment horizontal="left" vertical="center"/>
    </xf>
    <xf numFmtId="0" fontId="20" fillId="7" borderId="21" xfId="0" applyFont="1" applyFill="1" applyBorder="1" applyAlignment="1">
      <alignment horizontal="left" vertical="center" wrapText="1"/>
    </xf>
    <xf numFmtId="0" fontId="0" fillId="0" borderId="0" xfId="0" quotePrefix="1" applyAlignment="1">
      <alignment horizontal="center"/>
    </xf>
    <xf numFmtId="49" fontId="21" fillId="0" borderId="0" xfId="0" applyNumberFormat="1" applyFont="1" applyAlignment="1">
      <alignment horizontal="center" vertical="center"/>
    </xf>
    <xf numFmtId="49" fontId="11" fillId="0" borderId="0" xfId="0" applyNumberFormat="1" applyFont="1" applyAlignment="1">
      <alignment horizontal="center" vertical="center"/>
    </xf>
    <xf numFmtId="0" fontId="11" fillId="0" borderId="11" xfId="0" applyFont="1" applyBorder="1" applyAlignment="1">
      <alignment vertical="center"/>
    </xf>
    <xf numFmtId="0" fontId="33" fillId="0" borderId="0" xfId="0" applyFont="1" applyAlignment="1">
      <alignment horizontal="center" vertical="center"/>
    </xf>
    <xf numFmtId="0" fontId="3" fillId="0" borderId="0" xfId="0" applyFont="1" applyAlignment="1">
      <alignment horizontal="left"/>
    </xf>
    <xf numFmtId="0" fontId="87" fillId="0" borderId="0" xfId="0" applyFont="1" applyAlignment="1">
      <alignment horizontal="center"/>
    </xf>
    <xf numFmtId="0" fontId="32" fillId="0" borderId="0" xfId="0" applyFont="1" applyAlignment="1">
      <alignment horizontal="center"/>
    </xf>
    <xf numFmtId="0" fontId="10" fillId="0" borderId="0" xfId="0" applyFont="1" applyAlignment="1">
      <alignment wrapText="1"/>
    </xf>
    <xf numFmtId="0" fontId="30" fillId="0" borderId="0" xfId="0" applyFont="1" applyFill="1" applyAlignment="1">
      <alignment wrapText="1"/>
    </xf>
    <xf numFmtId="0" fontId="30" fillId="0" borderId="0" xfId="0" applyFont="1" applyAlignment="1">
      <alignment wrapText="1"/>
    </xf>
    <xf numFmtId="0" fontId="44" fillId="0" borderId="0" xfId="18" applyFont="1" applyAlignment="1">
      <alignment horizontal="left" vertical="center" wrapText="1"/>
    </xf>
    <xf numFmtId="0" fontId="42" fillId="0" borderId="18" xfId="0" applyFont="1" applyFill="1" applyBorder="1" applyAlignment="1">
      <alignment horizontal="center" vertical="center" wrapText="1"/>
    </xf>
    <xf numFmtId="0" fontId="14" fillId="0" borderId="0" xfId="0" applyFont="1" applyAlignment="1">
      <alignment horizontal="center" wrapText="1"/>
    </xf>
    <xf numFmtId="0" fontId="12" fillId="0" borderId="0" xfId="0" applyFont="1" applyAlignment="1">
      <alignment horizontal="center" vertical="center" wrapText="1"/>
    </xf>
    <xf numFmtId="0" fontId="27" fillId="0" borderId="0" xfId="0" applyFont="1" applyAlignment="1">
      <alignment horizontal="center" wrapText="1"/>
    </xf>
    <xf numFmtId="0" fontId="11" fillId="20" borderId="0" xfId="0" applyFont="1" applyFill="1" applyAlignment="1">
      <alignment wrapText="1"/>
    </xf>
    <xf numFmtId="0" fontId="11" fillId="20" borderId="0" xfId="0" applyFont="1" applyFill="1" applyAlignment="1">
      <alignment vertical="center" wrapText="1"/>
    </xf>
    <xf numFmtId="0" fontId="11" fillId="0" borderId="0" xfId="0" applyFont="1" applyAlignment="1">
      <alignment vertical="top" wrapText="1"/>
    </xf>
    <xf numFmtId="0" fontId="77" fillId="0" borderId="0" xfId="0" applyFont="1" applyAlignment="1">
      <alignment wrapText="1"/>
    </xf>
    <xf numFmtId="0" fontId="0" fillId="0" borderId="14" xfId="0" applyBorder="1"/>
    <xf numFmtId="0" fontId="0" fillId="0" borderId="6" xfId="0" applyBorder="1"/>
    <xf numFmtId="0" fontId="0" fillId="0" borderId="5" xfId="0" applyBorder="1"/>
    <xf numFmtId="0" fontId="88" fillId="13" borderId="30" xfId="0" applyFont="1" applyFill="1" applyBorder="1" applyAlignment="1">
      <alignment horizontal="center" vertical="center" wrapText="1"/>
    </xf>
    <xf numFmtId="0" fontId="40" fillId="0" borderId="0" xfId="0" applyFont="1" applyAlignment="1">
      <alignment vertical="center"/>
    </xf>
    <xf numFmtId="0" fontId="0" fillId="7" borderId="0" xfId="0" applyFill="1"/>
    <xf numFmtId="0" fontId="11" fillId="0" borderId="11" xfId="0" applyFont="1" applyBorder="1" applyAlignment="1">
      <alignment horizontal="center"/>
    </xf>
    <xf numFmtId="0" fontId="11" fillId="0" borderId="11" xfId="0" applyFont="1" applyBorder="1"/>
    <xf numFmtId="0" fontId="19" fillId="5" borderId="11" xfId="0" applyFont="1" applyFill="1" applyBorder="1" applyAlignment="1">
      <alignment horizontal="center" vertical="center" wrapText="1"/>
    </xf>
    <xf numFmtId="0" fontId="19" fillId="5" borderId="22" xfId="0" applyFont="1" applyFill="1" applyBorder="1" applyAlignment="1">
      <alignment horizontal="center" vertical="center" wrapText="1"/>
    </xf>
    <xf numFmtId="9" fontId="21" fillId="0" borderId="11" xfId="0" applyNumberFormat="1" applyFont="1" applyBorder="1" applyAlignment="1">
      <alignment horizontal="center" vertical="center"/>
    </xf>
    <xf numFmtId="0" fontId="21" fillId="0" borderId="11" xfId="1" applyNumberFormat="1" applyFont="1" applyBorder="1" applyAlignment="1">
      <alignment horizontal="center" vertical="center"/>
    </xf>
    <xf numFmtId="0" fontId="60" fillId="15" borderId="11" xfId="24" applyFont="1" applyBorder="1" applyAlignment="1">
      <alignment horizontal="center" vertical="center"/>
    </xf>
    <xf numFmtId="20" fontId="11" fillId="0" borderId="11" xfId="0" applyNumberFormat="1" applyFont="1" applyBorder="1" applyAlignment="1">
      <alignment horizontal="center" vertical="center"/>
    </xf>
    <xf numFmtId="49" fontId="11" fillId="0" borderId="11" xfId="0" quotePrefix="1"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21" xfId="0" applyFont="1" applyBorder="1" applyAlignment="1">
      <alignment horizontal="center" vertical="center" wrapText="1"/>
    </xf>
    <xf numFmtId="0" fontId="11" fillId="0" borderId="21" xfId="0" applyFont="1" applyBorder="1" applyAlignment="1">
      <alignment vertical="center"/>
    </xf>
    <xf numFmtId="0" fontId="19" fillId="0" borderId="11" xfId="0" applyFont="1" applyBorder="1" applyAlignment="1">
      <alignment vertical="center"/>
    </xf>
    <xf numFmtId="0" fontId="58" fillId="15" borderId="11" xfId="24" applyBorder="1" applyAlignment="1">
      <alignment horizontal="center" vertical="center"/>
    </xf>
    <xf numFmtId="0" fontId="19" fillId="0" borderId="11" xfId="0" applyFont="1" applyBorder="1" applyAlignment="1">
      <alignment horizontal="center"/>
    </xf>
    <xf numFmtId="0" fontId="19" fillId="0" borderId="11" xfId="0" applyFont="1" applyBorder="1" applyAlignment="1">
      <alignment horizontal="center" vertical="center"/>
    </xf>
    <xf numFmtId="0" fontId="11" fillId="0" borderId="11" xfId="0" applyFont="1" applyFill="1" applyBorder="1" applyAlignment="1">
      <alignment horizontal="center" vertical="center"/>
    </xf>
    <xf numFmtId="0" fontId="61" fillId="14" borderId="11" xfId="23" applyFont="1" applyBorder="1" applyAlignment="1">
      <alignment horizontal="center" vertical="center" wrapText="1"/>
    </xf>
    <xf numFmtId="0" fontId="62" fillId="16" borderId="11" xfId="25" applyFont="1" applyBorder="1" applyAlignment="1">
      <alignment horizontal="center" vertical="center"/>
    </xf>
    <xf numFmtId="49" fontId="11" fillId="0" borderId="11" xfId="0" quotePrefix="1" applyNumberFormat="1" applyFont="1" applyFill="1" applyBorder="1" applyAlignment="1">
      <alignment horizontal="center" vertical="center"/>
    </xf>
    <xf numFmtId="0" fontId="28" fillId="0" borderId="0" xfId="0" applyNumberFormat="1" applyFont="1" applyAlignment="1">
      <alignment horizontal="center" vertical="center"/>
    </xf>
    <xf numFmtId="0" fontId="11" fillId="0" borderId="0" xfId="0" applyFont="1" applyFill="1" applyAlignment="1">
      <alignment vertical="top" wrapText="1"/>
    </xf>
    <xf numFmtId="0" fontId="83" fillId="0" borderId="0" xfId="0" applyFont="1" applyFill="1" applyAlignment="1">
      <alignment wrapText="1"/>
    </xf>
    <xf numFmtId="0" fontId="11" fillId="0" borderId="0" xfId="0" applyFont="1" applyFill="1"/>
    <xf numFmtId="0" fontId="10" fillId="0" borderId="0" xfId="0" applyFont="1" applyFill="1" applyAlignment="1">
      <alignment horizontal="left" vertical="center" wrapText="1"/>
    </xf>
    <xf numFmtId="9" fontId="90" fillId="7" borderId="7" xfId="0" applyNumberFormat="1" applyFont="1" applyFill="1" applyBorder="1" applyAlignment="1">
      <alignment horizontal="center" vertical="center" wrapText="1"/>
    </xf>
    <xf numFmtId="9" fontId="78" fillId="7" borderId="11" xfId="1" applyFont="1" applyFill="1" applyBorder="1" applyAlignment="1">
      <alignment horizontal="center" vertical="center" wrapText="1"/>
    </xf>
    <xf numFmtId="9" fontId="28" fillId="7" borderId="11" xfId="0" applyNumberFormat="1" applyFont="1" applyFill="1" applyBorder="1" applyAlignment="1">
      <alignment horizontal="center" vertical="center"/>
    </xf>
    <xf numFmtId="0" fontId="92" fillId="0" borderId="0" xfId="0" applyFont="1"/>
    <xf numFmtId="0" fontId="92" fillId="0" borderId="0" xfId="0" applyFont="1" applyAlignment="1">
      <alignment horizontal="left" vertical="center"/>
    </xf>
    <xf numFmtId="0" fontId="3" fillId="19" borderId="0" xfId="0" applyFont="1" applyFill="1" applyBorder="1"/>
    <xf numFmtId="0" fontId="92" fillId="0" borderId="0" xfId="0" applyFont="1" applyAlignment="1">
      <alignment horizontal="left" vertical="center" wrapText="1"/>
    </xf>
    <xf numFmtId="0" fontId="92" fillId="0" borderId="0" xfId="0" applyFont="1" applyAlignment="1">
      <alignment wrapText="1"/>
    </xf>
    <xf numFmtId="0" fontId="0" fillId="19" borderId="0" xfId="0" applyFill="1" applyAlignment="1">
      <alignment horizontal="center"/>
    </xf>
    <xf numFmtId="0" fontId="0" fillId="19" borderId="0" xfId="0" applyFill="1" applyAlignment="1">
      <alignment horizontal="left"/>
    </xf>
    <xf numFmtId="0" fontId="93" fillId="0" borderId="0" xfId="0" applyFont="1" applyBorder="1" applyAlignment="1">
      <alignment vertical="center" wrapText="1"/>
    </xf>
    <xf numFmtId="0" fontId="94" fillId="0" borderId="0" xfId="0" applyFont="1" applyAlignment="1">
      <alignment horizontal="left" vertical="center" wrapText="1"/>
    </xf>
    <xf numFmtId="0" fontId="79" fillId="0" borderId="0" xfId="0" applyFont="1" applyAlignment="1">
      <alignment vertical="center" wrapText="1"/>
    </xf>
    <xf numFmtId="0" fontId="23" fillId="0" borderId="0" xfId="0" applyFont="1"/>
    <xf numFmtId="0" fontId="56" fillId="0" borderId="0" xfId="0" applyFont="1" applyAlignment="1">
      <alignment horizontal="left"/>
    </xf>
    <xf numFmtId="0" fontId="5" fillId="0" borderId="0" xfId="0" applyFont="1" applyAlignment="1">
      <alignment horizontal="center"/>
    </xf>
    <xf numFmtId="0" fontId="11" fillId="0" borderId="0" xfId="0" applyFont="1" applyFill="1" applyAlignment="1">
      <alignment horizontal="left" vertical="center" wrapText="1" indent="1"/>
    </xf>
    <xf numFmtId="0" fontId="5" fillId="9" borderId="50" xfId="0" applyFont="1" applyFill="1" applyBorder="1" applyAlignment="1" applyProtection="1">
      <alignment horizontal="left" vertical="center" wrapText="1"/>
      <protection locked="0"/>
    </xf>
    <xf numFmtId="0" fontId="5" fillId="9" borderId="17" xfId="0" applyFont="1" applyFill="1" applyBorder="1" applyAlignment="1" applyProtection="1">
      <alignment horizontal="left" vertical="center" wrapText="1"/>
      <protection locked="0"/>
    </xf>
    <xf numFmtId="0" fontId="10" fillId="9" borderId="11" xfId="0" applyFont="1" applyFill="1" applyBorder="1" applyAlignment="1" applyProtection="1">
      <alignment wrapText="1"/>
      <protection locked="0"/>
    </xf>
    <xf numFmtId="0" fontId="10" fillId="9" borderId="9" xfId="0" applyFont="1" applyFill="1" applyBorder="1" applyProtection="1">
      <protection locked="0"/>
    </xf>
    <xf numFmtId="0" fontId="10" fillId="9" borderId="25" xfId="0" applyFont="1" applyFill="1" applyBorder="1" applyAlignment="1" applyProtection="1">
      <alignment wrapText="1"/>
      <protection locked="0"/>
    </xf>
    <xf numFmtId="0" fontId="5" fillId="9" borderId="10" xfId="0" applyFont="1" applyFill="1" applyBorder="1" applyProtection="1">
      <protection locked="0"/>
    </xf>
    <xf numFmtId="0" fontId="29" fillId="10" borderId="0" xfId="0" applyFont="1" applyFill="1" applyBorder="1" applyAlignment="1" applyProtection="1">
      <alignment horizontal="center" vertical="center" wrapText="1"/>
      <protection locked="0"/>
    </xf>
    <xf numFmtId="14" fontId="5" fillId="2" borderId="11" xfId="0" applyNumberFormat="1" applyFont="1" applyFill="1" applyBorder="1" applyAlignment="1" applyProtection="1">
      <alignment horizontal="center" vertical="center"/>
      <protection locked="0"/>
    </xf>
    <xf numFmtId="1" fontId="5" fillId="2" borderId="11" xfId="0" applyNumberFormat="1" applyFont="1" applyFill="1" applyBorder="1" applyAlignment="1" applyProtection="1">
      <alignment horizontal="center" vertical="center"/>
      <protection locked="0"/>
    </xf>
    <xf numFmtId="1" fontId="11" fillId="9" borderId="11" xfId="0" applyNumberFormat="1" applyFont="1" applyFill="1" applyBorder="1" applyAlignment="1" applyProtection="1">
      <alignment horizontal="center"/>
      <protection locked="0"/>
    </xf>
    <xf numFmtId="0" fontId="11" fillId="9" borderId="11" xfId="0" applyFont="1" applyFill="1" applyBorder="1" applyAlignment="1" applyProtection="1">
      <alignment horizontal="center" vertical="center"/>
      <protection locked="0"/>
    </xf>
    <xf numFmtId="0" fontId="10" fillId="8" borderId="11" xfId="0" applyFont="1" applyFill="1" applyBorder="1" applyAlignment="1" applyProtection="1">
      <alignment horizontal="center" vertical="center"/>
      <protection locked="0"/>
    </xf>
    <xf numFmtId="0" fontId="10" fillId="0" borderId="0" xfId="0" applyFont="1" applyAlignment="1" applyProtection="1">
      <alignment vertical="center"/>
      <protection locked="0"/>
    </xf>
    <xf numFmtId="0" fontId="11" fillId="5" borderId="11" xfId="0" applyFont="1" applyFill="1" applyBorder="1" applyAlignment="1" applyProtection="1">
      <alignment horizontal="center" vertical="center"/>
      <protection locked="0"/>
    </xf>
    <xf numFmtId="0" fontId="66" fillId="0" borderId="11" xfId="0" applyFont="1" applyBorder="1" applyAlignment="1" applyProtection="1">
      <alignment horizontal="left" vertical="center" wrapText="1"/>
      <protection locked="0"/>
    </xf>
    <xf numFmtId="0" fontId="66" fillId="4" borderId="1" xfId="0" applyFont="1" applyFill="1" applyBorder="1" applyAlignment="1" applyProtection="1">
      <alignment horizontal="left" vertical="center" wrapText="1"/>
      <protection locked="0"/>
    </xf>
    <xf numFmtId="0" fontId="21" fillId="12" borderId="11"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66" fillId="0" borderId="14" xfId="0" applyFont="1" applyFill="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1" xfId="0" applyFont="1" applyBorder="1" applyAlignment="1" applyProtection="1">
      <alignment vertical="center" wrapText="1"/>
      <protection locked="0"/>
    </xf>
    <xf numFmtId="0" fontId="11" fillId="5" borderId="0" xfId="0" applyFont="1" applyFill="1" applyAlignment="1" applyProtection="1">
      <alignment horizontal="center" vertical="center"/>
      <protection locked="0"/>
    </xf>
    <xf numFmtId="0" fontId="66" fillId="0" borderId="11" xfId="0" applyFont="1" applyBorder="1" applyAlignment="1" applyProtection="1">
      <alignment horizontal="left" vertical="center"/>
      <protection locked="0"/>
    </xf>
    <xf numFmtId="0" fontId="66" fillId="0" borderId="1" xfId="0" applyFont="1" applyBorder="1" applyAlignment="1" applyProtection="1">
      <alignment horizontal="left" vertical="center" wrapText="1"/>
      <protection locked="0"/>
    </xf>
    <xf numFmtId="0" fontId="21" fillId="5" borderId="0" xfId="0" applyFont="1" applyFill="1" applyAlignment="1" applyProtection="1">
      <alignment horizontal="center" vertical="center"/>
      <protection locked="0"/>
    </xf>
    <xf numFmtId="0" fontId="16" fillId="4" borderId="1" xfId="0" applyFont="1" applyFill="1" applyBorder="1" applyAlignment="1" applyProtection="1">
      <alignment horizontal="left" vertical="center" wrapText="1"/>
      <protection locked="0"/>
    </xf>
    <xf numFmtId="0" fontId="21" fillId="0" borderId="11" xfId="0" applyFont="1" applyFill="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1" xfId="0" applyFont="1" applyBorder="1" applyAlignment="1" applyProtection="1">
      <alignment vertical="center" wrapText="1"/>
      <protection locked="0"/>
    </xf>
    <xf numFmtId="0" fontId="16" fillId="0" borderId="11" xfId="0" applyFont="1" applyBorder="1" applyAlignment="1" applyProtection="1">
      <alignment horizontal="left" vertical="center" wrapText="1"/>
      <protection locked="0"/>
    </xf>
    <xf numFmtId="0" fontId="11" fillId="8" borderId="0" xfId="0" applyFont="1" applyFill="1" applyAlignment="1" applyProtection="1">
      <alignment horizontal="center" vertical="center"/>
      <protection locked="0"/>
    </xf>
    <xf numFmtId="0" fontId="21" fillId="0" borderId="11" xfId="0" applyFont="1" applyFill="1" applyBorder="1" applyAlignment="1" applyProtection="1">
      <alignment vertical="center" wrapText="1"/>
      <protection locked="0"/>
    </xf>
    <xf numFmtId="0" fontId="16" fillId="4" borderId="33" xfId="0" applyFont="1" applyFill="1" applyBorder="1" applyAlignment="1" applyProtection="1">
      <alignment horizontal="left" vertical="center" wrapText="1"/>
      <protection locked="0"/>
    </xf>
    <xf numFmtId="0" fontId="66" fillId="0" borderId="14" xfId="0" applyFont="1" applyBorder="1" applyAlignment="1" applyProtection="1">
      <alignment vertical="center" wrapText="1"/>
      <protection locked="0"/>
    </xf>
    <xf numFmtId="0" fontId="66" fillId="0" borderId="6" xfId="0" applyFont="1" applyBorder="1" applyAlignment="1" applyProtection="1">
      <alignment vertical="center" wrapText="1"/>
      <protection locked="0"/>
    </xf>
    <xf numFmtId="0" fontId="66" fillId="0" borderId="5" xfId="0" applyFont="1" applyBorder="1" applyAlignment="1" applyProtection="1">
      <alignment vertical="center" wrapText="1"/>
      <protection locked="0"/>
    </xf>
    <xf numFmtId="0" fontId="11" fillId="0" borderId="0" xfId="0" applyFont="1" applyProtection="1">
      <protection locked="0"/>
    </xf>
    <xf numFmtId="0" fontId="17" fillId="0" borderId="0" xfId="0" applyFont="1" applyAlignment="1">
      <alignment horizontal="left" vertical="center" wrapText="1" indent="1"/>
    </xf>
    <xf numFmtId="0" fontId="6" fillId="0" borderId="0" xfId="0" applyFont="1" applyAlignment="1" applyProtection="1">
      <alignment horizontal="center"/>
    </xf>
    <xf numFmtId="0" fontId="84" fillId="0" borderId="0" xfId="0" applyFont="1" applyFill="1"/>
    <xf numFmtId="0" fontId="85" fillId="21" borderId="2" xfId="0" applyFont="1" applyFill="1" applyBorder="1" applyAlignment="1" applyProtection="1">
      <alignment horizontal="center"/>
      <protection locked="0"/>
    </xf>
    <xf numFmtId="0" fontId="15" fillId="0" borderId="0" xfId="0" applyFont="1" applyAlignment="1">
      <alignment horizontal="left" vertical="center" wrapText="1"/>
    </xf>
    <xf numFmtId="0" fontId="56" fillId="0" borderId="0" xfId="0" applyFont="1" applyAlignment="1">
      <alignment horizontal="center" vertical="center"/>
    </xf>
    <xf numFmtId="0" fontId="20" fillId="3" borderId="7" xfId="0" applyFont="1" applyFill="1" applyBorder="1" applyAlignment="1">
      <alignment wrapText="1"/>
    </xf>
    <xf numFmtId="0" fontId="28" fillId="0" borderId="0" xfId="0" applyFont="1" applyBorder="1" applyAlignment="1">
      <alignment vertical="center" wrapText="1"/>
    </xf>
    <xf numFmtId="0" fontId="21" fillId="0" borderId="21" xfId="0" applyFont="1" applyBorder="1" applyAlignment="1">
      <alignment vertical="center" wrapText="1"/>
    </xf>
    <xf numFmtId="0" fontId="11" fillId="0" borderId="21" xfId="0" applyFont="1" applyBorder="1" applyAlignment="1">
      <alignment horizontal="left" vertical="center" wrapText="1"/>
    </xf>
    <xf numFmtId="0" fontId="17" fillId="0" borderId="0" xfId="0" applyFont="1" applyAlignment="1">
      <alignment horizontal="right" vertical="center" wrapText="1"/>
    </xf>
    <xf numFmtId="0" fontId="37" fillId="0" borderId="0" xfId="0" applyFont="1" applyBorder="1" applyAlignment="1">
      <alignment horizontal="right" vertical="center" wrapText="1"/>
    </xf>
    <xf numFmtId="0" fontId="26" fillId="7" borderId="11" xfId="0" applyFont="1" applyFill="1" applyBorder="1" applyAlignment="1">
      <alignment vertical="center" wrapText="1"/>
    </xf>
    <xf numFmtId="0" fontId="46" fillId="7" borderId="0" xfId="0" applyFont="1" applyFill="1" applyAlignment="1">
      <alignment vertical="center" wrapText="1"/>
    </xf>
    <xf numFmtId="0" fontId="63" fillId="5" borderId="11" xfId="0" applyFont="1" applyFill="1" applyBorder="1" applyAlignment="1">
      <alignment vertical="center" wrapText="1"/>
    </xf>
    <xf numFmtId="0" fontId="3" fillId="19" borderId="0" xfId="0" applyFont="1" applyFill="1"/>
    <xf numFmtId="0" fontId="86" fillId="7" borderId="11" xfId="0" applyFont="1" applyFill="1" applyBorder="1" applyAlignment="1">
      <alignment vertical="center" wrapText="1"/>
    </xf>
    <xf numFmtId="0" fontId="99" fillId="6" borderId="0" xfId="0" applyFont="1" applyFill="1" applyBorder="1" applyAlignment="1">
      <alignment vertical="center" wrapText="1"/>
    </xf>
    <xf numFmtId="9" fontId="47" fillId="6" borderId="0" xfId="0" applyNumberFormat="1" applyFont="1" applyFill="1" applyBorder="1" applyAlignment="1">
      <alignment horizontal="center" vertical="center" wrapText="1"/>
    </xf>
    <xf numFmtId="0" fontId="11" fillId="0" borderId="0" xfId="0" applyFont="1" applyBorder="1" applyAlignment="1">
      <alignment horizontal="center" vertical="center"/>
    </xf>
    <xf numFmtId="9" fontId="0" fillId="0" borderId="0" xfId="0" applyNumberFormat="1" applyBorder="1" applyAlignment="1">
      <alignment horizontal="center" vertical="center"/>
    </xf>
    <xf numFmtId="0" fontId="11" fillId="0" borderId="0" xfId="0" applyFont="1" applyFill="1" applyBorder="1" applyAlignment="1">
      <alignment vertical="center" wrapText="1"/>
    </xf>
    <xf numFmtId="9" fontId="0" fillId="0" borderId="0" xfId="0" applyNumberFormat="1" applyFill="1" applyBorder="1" applyAlignment="1">
      <alignment horizontal="center" vertical="center"/>
    </xf>
    <xf numFmtId="0" fontId="27" fillId="0" borderId="48" xfId="0" applyFont="1" applyBorder="1" applyAlignment="1">
      <alignment horizontal="center"/>
    </xf>
    <xf numFmtId="0" fontId="36" fillId="0" borderId="49" xfId="0" applyFont="1" applyBorder="1" applyAlignment="1">
      <alignment horizontal="center"/>
    </xf>
    <xf numFmtId="0" fontId="17" fillId="0" borderId="15" xfId="0" applyFont="1" applyBorder="1" applyAlignment="1">
      <alignment horizontal="left" vertical="center" wrapText="1" indent="1"/>
    </xf>
    <xf numFmtId="0" fontId="84" fillId="19" borderId="0" xfId="0" applyFont="1" applyFill="1"/>
    <xf numFmtId="0" fontId="11" fillId="19" borderId="0" xfId="0" applyFont="1" applyFill="1" applyAlignment="1">
      <alignment wrapText="1"/>
    </xf>
    <xf numFmtId="0" fontId="83" fillId="19" borderId="0" xfId="0" applyFont="1" applyFill="1" applyAlignment="1">
      <alignment wrapText="1"/>
    </xf>
    <xf numFmtId="0" fontId="11" fillId="19" borderId="0" xfId="0" applyFont="1" applyFill="1"/>
    <xf numFmtId="0" fontId="96" fillId="19" borderId="0" xfId="0" applyFont="1" applyFill="1" applyAlignment="1">
      <alignment vertical="center" wrapText="1"/>
    </xf>
    <xf numFmtId="0" fontId="37" fillId="0" borderId="15" xfId="0" applyFont="1" applyBorder="1" applyAlignment="1">
      <alignment vertical="center" wrapText="1"/>
    </xf>
    <xf numFmtId="0" fontId="11" fillId="0" borderId="15" xfId="0" applyFont="1" applyBorder="1" applyAlignment="1">
      <alignment vertical="center" wrapText="1"/>
    </xf>
    <xf numFmtId="0" fontId="37" fillId="0" borderId="0" xfId="0" applyFont="1" applyBorder="1" applyAlignment="1">
      <alignment vertical="center" wrapText="1"/>
    </xf>
    <xf numFmtId="0" fontId="96" fillId="0" borderId="0" xfId="0" applyFont="1" applyFill="1" applyAlignment="1">
      <alignment vertical="center" wrapText="1"/>
    </xf>
    <xf numFmtId="0" fontId="96" fillId="0" borderId="0" xfId="0" applyFont="1" applyFill="1" applyBorder="1" applyAlignment="1">
      <alignment vertical="center" wrapText="1"/>
    </xf>
    <xf numFmtId="0" fontId="96" fillId="22" borderId="0" xfId="0" applyFont="1" applyFill="1" applyBorder="1" applyAlignment="1">
      <alignment vertical="center" wrapText="1"/>
    </xf>
    <xf numFmtId="0" fontId="7" fillId="0" borderId="0" xfId="0" applyFont="1" applyBorder="1" applyAlignment="1">
      <alignment horizontal="left" vertical="center" wrapText="1" indent="1"/>
    </xf>
    <xf numFmtId="0" fontId="44" fillId="0" borderId="0" xfId="18" applyFont="1" applyAlignment="1">
      <alignment horizontal="left" vertical="center" wrapText="1" indent="1"/>
    </xf>
    <xf numFmtId="0" fontId="11" fillId="0" borderId="0" xfId="0" applyFont="1" applyBorder="1" applyAlignment="1">
      <alignment horizontal="left" vertical="center" wrapText="1" indent="1"/>
    </xf>
    <xf numFmtId="0" fontId="10" fillId="0" borderId="0" xfId="0" applyFont="1" applyAlignment="1">
      <alignment horizontal="left" vertical="center" wrapText="1" indent="1"/>
    </xf>
    <xf numFmtId="0" fontId="1" fillId="0" borderId="0" xfId="0" applyFont="1" applyAlignment="1">
      <alignment horizontal="left" vertical="center"/>
    </xf>
    <xf numFmtId="0" fontId="44" fillId="0" borderId="0" xfId="18" applyFont="1"/>
    <xf numFmtId="0" fontId="5" fillId="0" borderId="0" xfId="0" applyFont="1" applyBorder="1" applyAlignment="1">
      <alignment horizontal="left" vertical="center" wrapText="1"/>
    </xf>
    <xf numFmtId="0" fontId="25" fillId="0" borderId="0" xfId="0" applyFont="1" applyAlignment="1">
      <alignment horizontal="left" vertical="center" wrapText="1"/>
    </xf>
    <xf numFmtId="0" fontId="21" fillId="0" borderId="0" xfId="0" applyFont="1" applyFill="1" applyAlignment="1">
      <alignment horizontal="center" vertical="center" wrapText="1"/>
    </xf>
    <xf numFmtId="0" fontId="40" fillId="0" borderId="0" xfId="0" applyFont="1" applyAlignment="1">
      <alignment horizontal="center" vertical="center" wrapText="1"/>
    </xf>
    <xf numFmtId="0" fontId="32" fillId="0" borderId="0" xfId="0" applyFont="1" applyAlignment="1">
      <alignment vertical="center"/>
    </xf>
    <xf numFmtId="0" fontId="5" fillId="0" borderId="0" xfId="0" applyFont="1" applyAlignment="1">
      <alignment horizontal="center" vertical="center"/>
    </xf>
    <xf numFmtId="0" fontId="56" fillId="0" borderId="0" xfId="0" applyFont="1" applyAlignment="1">
      <alignment horizontal="center" vertical="center" wrapText="1"/>
    </xf>
    <xf numFmtId="0" fontId="67" fillId="0" borderId="0" xfId="0" applyFont="1" applyAlignment="1">
      <alignment vertical="center"/>
    </xf>
    <xf numFmtId="0" fontId="66" fillId="0" borderId="0" xfId="0" applyFont="1" applyAlignment="1">
      <alignment vertical="center"/>
    </xf>
    <xf numFmtId="0" fontId="14" fillId="0" borderId="0" xfId="0" applyFont="1" applyAlignment="1">
      <alignment vertical="center"/>
    </xf>
    <xf numFmtId="0" fontId="0" fillId="0" borderId="0" xfId="0" applyFont="1" applyAlignment="1">
      <alignment vertical="center"/>
    </xf>
    <xf numFmtId="0" fontId="12" fillId="0" borderId="0" xfId="0" applyFont="1" applyAlignment="1">
      <alignment vertical="center"/>
    </xf>
    <xf numFmtId="0" fontId="36" fillId="0" borderId="0" xfId="0" applyFont="1" applyAlignment="1">
      <alignment horizontal="left" vertical="center"/>
    </xf>
    <xf numFmtId="0" fontId="48" fillId="0" borderId="0" xfId="0" applyFont="1" applyAlignment="1">
      <alignment vertical="center"/>
    </xf>
    <xf numFmtId="9" fontId="0" fillId="0" borderId="0" xfId="0" applyNumberFormat="1" applyAlignment="1">
      <alignment vertical="center"/>
    </xf>
    <xf numFmtId="2" fontId="0" fillId="0" borderId="0" xfId="0" applyNumberFormat="1" applyAlignment="1">
      <alignment vertical="center"/>
    </xf>
    <xf numFmtId="0" fontId="0" fillId="0" borderId="0" xfId="0" applyFill="1" applyAlignment="1">
      <alignment vertical="center"/>
    </xf>
    <xf numFmtId="0" fontId="34" fillId="0" borderId="0" xfId="0" applyFont="1" applyFill="1" applyAlignment="1">
      <alignment vertical="center" wrapText="1"/>
    </xf>
    <xf numFmtId="0" fontId="32" fillId="0" borderId="0" xfId="0" applyFont="1" applyFill="1" applyAlignment="1">
      <alignment vertical="center" wrapText="1"/>
    </xf>
    <xf numFmtId="0" fontId="21" fillId="0" borderId="0" xfId="0" applyFont="1" applyAlignment="1">
      <alignment vertical="center"/>
    </xf>
    <xf numFmtId="0" fontId="33" fillId="0" borderId="0" xfId="0" applyFont="1" applyAlignment="1">
      <alignment vertical="center" wrapText="1"/>
    </xf>
    <xf numFmtId="0" fontId="21" fillId="0" borderId="5" xfId="0" applyFont="1" applyBorder="1" applyAlignment="1" applyProtection="1">
      <alignment vertical="center" wrapText="1"/>
      <protection locked="0"/>
    </xf>
    <xf numFmtId="0" fontId="32" fillId="0" borderId="0" xfId="0" applyFont="1" applyFill="1" applyAlignment="1">
      <alignment vertical="center"/>
    </xf>
    <xf numFmtId="0" fontId="22" fillId="0" borderId="0" xfId="0" applyFont="1" applyAlignment="1">
      <alignment vertical="center"/>
    </xf>
    <xf numFmtId="0" fontId="50" fillId="0" borderId="0" xfId="0" applyFont="1" applyAlignment="1">
      <alignment vertical="center"/>
    </xf>
    <xf numFmtId="0" fontId="12" fillId="0" borderId="4" xfId="0" applyFont="1" applyBorder="1" applyAlignment="1">
      <alignment vertical="center"/>
    </xf>
    <xf numFmtId="0" fontId="35" fillId="0" borderId="0" xfId="0" applyFont="1" applyAlignment="1">
      <alignment vertical="center"/>
    </xf>
    <xf numFmtId="0" fontId="0" fillId="0" borderId="0" xfId="0" applyBorder="1" applyAlignment="1">
      <alignment vertical="center"/>
    </xf>
    <xf numFmtId="3" fontId="0" fillId="0" borderId="0" xfId="0" applyNumberFormat="1" applyAlignment="1">
      <alignment vertical="center"/>
    </xf>
    <xf numFmtId="0" fontId="29" fillId="0" borderId="0" xfId="0" applyFont="1" applyFill="1" applyAlignment="1">
      <alignment horizontal="left" wrapText="1" indent="1"/>
    </xf>
    <xf numFmtId="0" fontId="29" fillId="0" borderId="0" xfId="0" applyFont="1" applyAlignment="1">
      <alignment horizontal="left" wrapText="1" indent="1"/>
    </xf>
    <xf numFmtId="0" fontId="37" fillId="0" borderId="0" xfId="0" applyFont="1" applyFill="1" applyAlignment="1">
      <alignment horizontal="left" vertical="center" wrapText="1" indent="1"/>
    </xf>
    <xf numFmtId="0" fontId="11" fillId="5" borderId="0" xfId="0" applyFont="1" applyFill="1" applyAlignment="1" applyProtection="1">
      <alignment horizontal="left" vertical="center" indent="1"/>
      <protection locked="0"/>
    </xf>
    <xf numFmtId="0" fontId="66" fillId="0" borderId="1" xfId="0" applyFont="1" applyBorder="1" applyAlignment="1">
      <alignment vertical="center" wrapText="1"/>
    </xf>
    <xf numFmtId="0" fontId="5" fillId="2" borderId="0" xfId="0" applyFont="1" applyFill="1" applyBorder="1" applyAlignment="1" applyProtection="1">
      <alignment horizontal="left" vertical="center" wrapText="1" indent="1"/>
      <protection locked="0"/>
    </xf>
    <xf numFmtId="0" fontId="76" fillId="0" borderId="15" xfId="0" applyFont="1" applyBorder="1" applyAlignment="1">
      <alignment horizontal="left" vertical="center" wrapText="1" indent="1"/>
    </xf>
    <xf numFmtId="0" fontId="56" fillId="0" borderId="0" xfId="0" applyFont="1" applyBorder="1" applyAlignment="1">
      <alignment vertical="center" wrapText="1"/>
    </xf>
    <xf numFmtId="0" fontId="21" fillId="0" borderId="0" xfId="0" applyFont="1" applyBorder="1" applyAlignment="1" applyProtection="1">
      <alignment vertical="center" wrapText="1"/>
      <protection locked="0"/>
    </xf>
    <xf numFmtId="0" fontId="44" fillId="0" borderId="0" xfId="18" applyFont="1" applyAlignment="1">
      <alignment vertical="center"/>
    </xf>
    <xf numFmtId="0" fontId="44" fillId="0" borderId="0" xfId="18" applyFont="1" applyFill="1"/>
    <xf numFmtId="0" fontId="3" fillId="0" borderId="45" xfId="0" applyFont="1" applyBorder="1" applyAlignment="1">
      <alignment wrapText="1"/>
    </xf>
    <xf numFmtId="0" fontId="21" fillId="20" borderId="57" xfId="0" applyFont="1" applyFill="1" applyBorder="1" applyAlignment="1">
      <alignment horizontal="left" vertical="top" wrapText="1"/>
    </xf>
    <xf numFmtId="0" fontId="11" fillId="20" borderId="58" xfId="0" applyFont="1" applyFill="1" applyBorder="1" applyAlignment="1">
      <alignment horizontal="left" vertical="top" wrapText="1"/>
    </xf>
    <xf numFmtId="0" fontId="11" fillId="0" borderId="58" xfId="0" applyFont="1" applyFill="1" applyBorder="1" applyAlignment="1">
      <alignment horizontal="left" vertical="top" wrapText="1"/>
    </xf>
    <xf numFmtId="0" fontId="92" fillId="20" borderId="58" xfId="0" applyFont="1" applyFill="1" applyBorder="1" applyAlignment="1">
      <alignment horizontal="left" vertical="top" wrapText="1"/>
    </xf>
    <xf numFmtId="0" fontId="44" fillId="0" borderId="58" xfId="18" applyFont="1" applyFill="1" applyBorder="1"/>
    <xf numFmtId="0" fontId="92" fillId="0" borderId="58" xfId="0" applyFont="1" applyBorder="1" applyAlignment="1">
      <alignment horizontal="left" vertical="center" wrapText="1"/>
    </xf>
    <xf numFmtId="0" fontId="92" fillId="20" borderId="58" xfId="0" applyFont="1" applyFill="1" applyBorder="1" applyAlignment="1">
      <alignment horizontal="left" vertical="top"/>
    </xf>
    <xf numFmtId="0" fontId="83" fillId="20" borderId="58" xfId="0" applyFont="1" applyFill="1" applyBorder="1" applyAlignment="1">
      <alignment horizontal="left" vertical="top" wrapText="1"/>
    </xf>
    <xf numFmtId="0" fontId="11" fillId="0" borderId="58" xfId="0" applyFont="1" applyBorder="1" applyAlignment="1">
      <alignment vertical="center" wrapText="1"/>
    </xf>
    <xf numFmtId="0" fontId="11" fillId="19" borderId="58" xfId="0" applyFont="1" applyFill="1" applyBorder="1" applyAlignment="1">
      <alignment horizontal="left" vertical="top" wrapText="1"/>
    </xf>
    <xf numFmtId="0" fontId="11" fillId="20" borderId="58" xfId="0" applyFont="1" applyFill="1" applyBorder="1" applyAlignment="1">
      <alignment horizontal="left" vertical="top"/>
    </xf>
    <xf numFmtId="0" fontId="14" fillId="0" borderId="4" xfId="0" applyFont="1" applyBorder="1" applyAlignment="1">
      <alignment horizontal="left" vertical="top" indent="1"/>
    </xf>
    <xf numFmtId="0" fontId="56" fillId="0" borderId="0" xfId="0" applyFont="1" applyAlignment="1">
      <alignment horizontal="left" vertical="top" indent="1"/>
    </xf>
    <xf numFmtId="0" fontId="0" fillId="0" borderId="0" xfId="0" applyAlignment="1">
      <alignment horizontal="left" vertical="top" indent="1"/>
    </xf>
    <xf numFmtId="0" fontId="0" fillId="0" borderId="0" xfId="0" applyAlignment="1">
      <alignment horizontal="left" vertical="top" wrapText="1" indent="1"/>
    </xf>
    <xf numFmtId="0" fontId="66" fillId="0" borderId="0" xfId="0" applyFont="1" applyAlignment="1">
      <alignment horizontal="left" vertical="top" wrapText="1" indent="1"/>
    </xf>
    <xf numFmtId="0" fontId="11" fillId="0" borderId="11" xfId="0" applyFont="1" applyBorder="1" applyAlignment="1" applyProtection="1">
      <alignment vertical="center" wrapText="1"/>
    </xf>
    <xf numFmtId="0" fontId="93" fillId="0" borderId="0" xfId="0" applyFont="1" applyBorder="1" applyAlignment="1">
      <alignment vertical="top" wrapText="1"/>
    </xf>
    <xf numFmtId="0" fontId="26" fillId="7" borderId="11" xfId="0" applyFont="1" applyFill="1" applyBorder="1" applyAlignment="1">
      <alignment horizontal="right" vertical="center"/>
    </xf>
    <xf numFmtId="0" fontId="26" fillId="7" borderId="11" xfId="0" applyFont="1" applyFill="1" applyBorder="1" applyAlignment="1">
      <alignment horizontal="right"/>
    </xf>
    <xf numFmtId="0" fontId="38" fillId="0" borderId="0" xfId="18" applyFill="1"/>
    <xf numFmtId="0" fontId="11" fillId="0" borderId="0" xfId="0" applyFont="1" applyFill="1" applyProtection="1">
      <protection locked="0"/>
    </xf>
    <xf numFmtId="0" fontId="11" fillId="19" borderId="0" xfId="0" applyFont="1" applyFill="1" applyProtection="1">
      <protection locked="0"/>
    </xf>
    <xf numFmtId="0" fontId="27" fillId="0" borderId="0" xfId="0" applyFont="1" applyAlignment="1" applyProtection="1">
      <alignment horizontal="center" wrapText="1"/>
      <protection locked="0"/>
    </xf>
    <xf numFmtId="0" fontId="27" fillId="20" borderId="58" xfId="0" applyFont="1" applyFill="1" applyBorder="1" applyAlignment="1">
      <alignment horizontal="center" vertical="top" wrapText="1"/>
    </xf>
    <xf numFmtId="0" fontId="85" fillId="0" borderId="0" xfId="0" applyFont="1" applyAlignment="1" applyProtection="1"/>
    <xf numFmtId="0" fontId="11" fillId="20" borderId="58" xfId="0" applyFont="1" applyFill="1" applyBorder="1" applyAlignment="1">
      <alignment horizontal="left" wrapText="1"/>
    </xf>
    <xf numFmtId="0" fontId="5" fillId="0" borderId="0" xfId="0" applyFont="1" applyBorder="1" applyAlignment="1">
      <alignment horizontal="left" vertical="center" wrapText="1" indent="1"/>
    </xf>
    <xf numFmtId="0" fontId="11" fillId="0" borderId="0" xfId="0" applyFont="1" applyBorder="1" applyAlignment="1">
      <alignment horizontal="left" vertical="center" wrapText="1"/>
    </xf>
    <xf numFmtId="0" fontId="15" fillId="0" borderId="0" xfId="0" applyFont="1" applyAlignment="1">
      <alignment horizontal="left" vertical="center" wrapText="1" indent="1"/>
    </xf>
    <xf numFmtId="0" fontId="25" fillId="0" borderId="0" xfId="0" applyFont="1" applyAlignment="1">
      <alignment horizontal="left" vertical="center" wrapText="1" indent="1"/>
    </xf>
    <xf numFmtId="0" fontId="0" fillId="0" borderId="41" xfId="0" applyBorder="1" applyAlignment="1">
      <alignment horizontal="center"/>
    </xf>
    <xf numFmtId="0" fontId="100" fillId="0" borderId="0" xfId="18" applyFont="1" applyFill="1" applyBorder="1" applyAlignment="1"/>
    <xf numFmtId="0" fontId="1" fillId="0" borderId="0" xfId="0" applyFont="1" applyAlignment="1">
      <alignment horizontal="left" vertical="center" indent="2"/>
    </xf>
    <xf numFmtId="0" fontId="66" fillId="0" borderId="11" xfId="0" applyFont="1" applyFill="1" applyBorder="1" applyAlignment="1" applyProtection="1">
      <alignment horizontal="left" vertical="center" wrapText="1"/>
      <protection locked="0"/>
    </xf>
    <xf numFmtId="0" fontId="77" fillId="7" borderId="11" xfId="0" applyFont="1" applyFill="1" applyBorder="1" applyAlignment="1">
      <alignment vertical="center" wrapText="1"/>
    </xf>
    <xf numFmtId="0" fontId="77" fillId="7" borderId="11" xfId="0" applyFont="1" applyFill="1" applyBorder="1" applyAlignment="1">
      <alignment horizontal="left" vertical="center" wrapText="1"/>
    </xf>
    <xf numFmtId="0" fontId="66" fillId="0" borderId="11" xfId="0" applyFont="1" applyBorder="1" applyAlignment="1">
      <alignment vertical="center" wrapText="1"/>
    </xf>
    <xf numFmtId="0" fontId="66" fillId="0" borderId="11" xfId="0" applyFont="1" applyFill="1" applyBorder="1" applyAlignment="1" applyProtection="1">
      <alignment vertical="center" wrapText="1"/>
      <protection locked="0"/>
    </xf>
    <xf numFmtId="0" fontId="27" fillId="23" borderId="0" xfId="0" applyFont="1" applyFill="1" applyBorder="1" applyAlignment="1">
      <alignment horizontal="left" wrapText="1"/>
    </xf>
    <xf numFmtId="0" fontId="27" fillId="23" borderId="0" xfId="0" applyFont="1" applyFill="1" applyBorder="1" applyAlignment="1">
      <alignment horizontal="left" vertical="top" wrapText="1"/>
    </xf>
    <xf numFmtId="0" fontId="1" fillId="0" borderId="0" xfId="0" applyFont="1" applyBorder="1" applyAlignment="1">
      <alignment horizontal="left" vertical="center" wrapText="1"/>
    </xf>
    <xf numFmtId="0" fontId="53" fillId="13" borderId="27" xfId="0" applyFont="1" applyFill="1" applyBorder="1" applyAlignment="1">
      <alignment vertical="center" wrapText="1"/>
    </xf>
    <xf numFmtId="0" fontId="53" fillId="13" borderId="28" xfId="0" applyFont="1" applyFill="1" applyBorder="1" applyAlignment="1">
      <alignment vertical="center" wrapText="1"/>
    </xf>
    <xf numFmtId="0" fontId="53" fillId="13" borderId="29" xfId="0" applyFont="1" applyFill="1" applyBorder="1" applyAlignment="1">
      <alignment vertical="center" wrapText="1"/>
    </xf>
    <xf numFmtId="0" fontId="53" fillId="13" borderId="30" xfId="0" applyFont="1" applyFill="1" applyBorder="1" applyAlignment="1">
      <alignment vertical="center" wrapText="1"/>
    </xf>
    <xf numFmtId="0" fontId="53" fillId="13" borderId="32" xfId="0" applyFont="1" applyFill="1" applyBorder="1" applyAlignment="1">
      <alignment horizontal="center" vertical="center" wrapText="1"/>
    </xf>
    <xf numFmtId="0" fontId="53" fillId="13" borderId="18" xfId="0" applyFont="1" applyFill="1" applyBorder="1" applyAlignment="1">
      <alignment horizontal="center" vertical="center" wrapText="1"/>
    </xf>
    <xf numFmtId="0" fontId="53" fillId="13" borderId="19" xfId="0" applyFont="1" applyFill="1" applyBorder="1" applyAlignment="1">
      <alignment vertical="center" wrapText="1"/>
    </xf>
    <xf numFmtId="0" fontId="53" fillId="13" borderId="31" xfId="0" applyFont="1" applyFill="1" applyBorder="1" applyAlignment="1">
      <alignment vertical="center" wrapText="1"/>
    </xf>
    <xf numFmtId="0" fontId="53" fillId="13" borderId="3" xfId="0" applyFont="1" applyFill="1" applyBorder="1" applyAlignment="1">
      <alignment horizontal="center" vertical="center" wrapText="1"/>
    </xf>
    <xf numFmtId="0" fontId="7" fillId="0" borderId="56"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15" xfId="0" applyFont="1" applyBorder="1" applyAlignment="1">
      <alignment horizontal="left" vertical="center" wrapText="1" indent="1"/>
    </xf>
    <xf numFmtId="0" fontId="5" fillId="0" borderId="0" xfId="0" applyFont="1" applyBorder="1" applyAlignment="1">
      <alignment horizontal="left" vertical="center" wrapText="1" indent="1"/>
    </xf>
    <xf numFmtId="0" fontId="21" fillId="0" borderId="21"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5" fillId="0" borderId="1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1" xfId="0" applyFont="1" applyBorder="1" applyAlignment="1" applyProtection="1">
      <alignment horizontal="left" wrapText="1"/>
      <protection locked="0"/>
    </xf>
    <xf numFmtId="0" fontId="5" fillId="0" borderId="23" xfId="0" applyFont="1" applyBorder="1" applyAlignment="1" applyProtection="1">
      <alignment horizontal="left" wrapText="1"/>
      <protection locked="0"/>
    </xf>
    <xf numFmtId="0" fontId="5" fillId="0" borderId="22" xfId="0" applyFont="1" applyBorder="1" applyAlignment="1" applyProtection="1">
      <alignment horizontal="left" wrapText="1"/>
      <protection locked="0"/>
    </xf>
    <xf numFmtId="0" fontId="21" fillId="0" borderId="21"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46" xfId="0" applyFont="1" applyBorder="1" applyAlignment="1">
      <alignment horizontal="center" vertical="center"/>
    </xf>
    <xf numFmtId="0" fontId="21" fillId="0" borderId="46" xfId="0" applyFont="1" applyBorder="1" applyAlignment="1">
      <alignment horizontal="center"/>
    </xf>
    <xf numFmtId="0" fontId="5" fillId="2" borderId="21" xfId="0" applyFont="1" applyFill="1" applyBorder="1" applyAlignment="1" applyProtection="1">
      <protection locked="0"/>
    </xf>
    <xf numFmtId="0" fontId="5" fillId="2" borderId="23" xfId="0" applyFont="1" applyFill="1" applyBorder="1" applyAlignment="1" applyProtection="1">
      <protection locked="0"/>
    </xf>
    <xf numFmtId="0" fontId="5" fillId="2" borderId="22" xfId="0" applyFont="1" applyFill="1" applyBorder="1" applyAlignment="1" applyProtection="1">
      <protection locked="0"/>
    </xf>
    <xf numFmtId="0" fontId="5" fillId="9" borderId="35" xfId="0" applyFont="1" applyFill="1" applyBorder="1" applyAlignment="1" applyProtection="1">
      <alignment horizontal="left" vertical="center"/>
      <protection locked="0"/>
    </xf>
    <xf numFmtId="0" fontId="5" fillId="9" borderId="24" xfId="0" applyFont="1" applyFill="1" applyBorder="1" applyAlignment="1" applyProtection="1">
      <alignment horizontal="left" vertical="center"/>
      <protection locked="0"/>
    </xf>
    <xf numFmtId="0" fontId="10" fillId="9" borderId="21" xfId="0" applyFont="1" applyFill="1" applyBorder="1" applyAlignment="1" applyProtection="1">
      <alignment horizontal="left"/>
      <protection locked="0"/>
    </xf>
    <xf numFmtId="0" fontId="10" fillId="9" borderId="22" xfId="0" applyFont="1" applyFill="1" applyBorder="1" applyAlignment="1" applyProtection="1">
      <alignment horizontal="left"/>
      <protection locked="0"/>
    </xf>
    <xf numFmtId="0" fontId="10" fillId="0" borderId="15" xfId="0" applyFont="1" applyFill="1" applyBorder="1" applyAlignment="1">
      <alignment horizontal="left" wrapText="1"/>
    </xf>
    <xf numFmtId="0" fontId="10" fillId="0" borderId="0" xfId="0" applyFont="1" applyFill="1" applyAlignment="1">
      <alignment horizontal="left" wrapText="1"/>
    </xf>
    <xf numFmtId="0" fontId="5" fillId="2" borderId="41" xfId="0" applyNumberFormat="1" applyFont="1" applyFill="1" applyBorder="1" applyAlignment="1" applyProtection="1">
      <alignment horizontal="center" vertical="center"/>
      <protection locked="0"/>
    </xf>
    <xf numFmtId="0" fontId="5" fillId="2" borderId="38" xfId="0" applyNumberFormat="1" applyFont="1" applyFill="1" applyBorder="1" applyAlignment="1" applyProtection="1">
      <alignment horizontal="center" vertical="center"/>
      <protection locked="0"/>
    </xf>
    <xf numFmtId="0" fontId="6" fillId="0" borderId="3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 xfId="0" applyFont="1" applyBorder="1" applyAlignment="1">
      <alignment horizontal="center" vertical="center" wrapText="1"/>
    </xf>
    <xf numFmtId="0" fontId="10" fillId="9" borderId="36" xfId="0" applyFont="1" applyFill="1" applyBorder="1" applyAlignment="1" applyProtection="1">
      <alignment horizontal="left"/>
      <protection locked="0"/>
    </xf>
    <xf numFmtId="0" fontId="10" fillId="9" borderId="25" xfId="0" applyFont="1" applyFill="1" applyBorder="1" applyAlignment="1" applyProtection="1">
      <alignment horizontal="left"/>
      <protection locked="0"/>
    </xf>
    <xf numFmtId="164" fontId="5" fillId="2" borderId="42" xfId="0" applyNumberFormat="1" applyFont="1" applyFill="1" applyBorder="1" applyAlignment="1" applyProtection="1">
      <alignment horizontal="center" vertical="center"/>
      <protection locked="0"/>
    </xf>
    <xf numFmtId="164" fontId="5" fillId="2" borderId="39" xfId="0" applyNumberFormat="1" applyFont="1" applyFill="1" applyBorder="1" applyAlignment="1" applyProtection="1">
      <alignment horizontal="center" vertical="center"/>
      <protection locked="0"/>
    </xf>
    <xf numFmtId="0" fontId="10" fillId="0" borderId="37" xfId="0" applyFont="1" applyBorder="1" applyAlignment="1">
      <alignment horizontal="left" vertical="center" wrapText="1"/>
    </xf>
    <xf numFmtId="0" fontId="10" fillId="0" borderId="31" xfId="0" applyFont="1" applyBorder="1" applyAlignment="1">
      <alignment horizontal="left" vertical="center" wrapText="1"/>
    </xf>
    <xf numFmtId="0" fontId="21" fillId="18" borderId="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0" xfId="0" applyFont="1" applyFill="1" applyBorder="1" applyAlignment="1">
      <alignment horizontal="center" vertical="center" wrapText="1"/>
    </xf>
    <xf numFmtId="14" fontId="5" fillId="2" borderId="21" xfId="0" applyNumberFormat="1" applyFont="1" applyFill="1" applyBorder="1" applyAlignment="1" applyProtection="1">
      <protection locked="0"/>
    </xf>
    <xf numFmtId="14" fontId="5" fillId="2" borderId="23" xfId="0" applyNumberFormat="1" applyFont="1" applyFill="1" applyBorder="1" applyAlignment="1" applyProtection="1">
      <protection locked="0"/>
    </xf>
    <xf numFmtId="14" fontId="5" fillId="2" borderId="22" xfId="0" applyNumberFormat="1" applyFont="1" applyFill="1" applyBorder="1" applyAlignment="1" applyProtection="1">
      <protection locked="0"/>
    </xf>
    <xf numFmtId="164" fontId="5" fillId="2" borderId="43" xfId="0" applyNumberFormat="1" applyFont="1" applyFill="1" applyBorder="1" applyAlignment="1" applyProtection="1">
      <alignment horizontal="center" vertical="center"/>
      <protection locked="0"/>
    </xf>
    <xf numFmtId="164" fontId="5" fillId="2" borderId="40" xfId="0" applyNumberFormat="1" applyFont="1" applyFill="1" applyBorder="1" applyAlignment="1" applyProtection="1">
      <alignment horizontal="center" vertical="center"/>
      <protection locked="0"/>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5" fillId="0" borderId="15"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15" xfId="0" applyFont="1" applyBorder="1" applyAlignment="1">
      <alignment horizontal="left" vertical="top" wrapText="1" indent="1"/>
    </xf>
    <xf numFmtId="0" fontId="15" fillId="0" borderId="0" xfId="0" applyFont="1" applyBorder="1" applyAlignment="1">
      <alignment horizontal="left" vertical="top" wrapText="1" indent="1"/>
    </xf>
    <xf numFmtId="0" fontId="15" fillId="0" borderId="0" xfId="0" applyFont="1" applyAlignment="1">
      <alignment horizontal="left" vertical="center" wrapText="1" indent="1"/>
    </xf>
    <xf numFmtId="0" fontId="64" fillId="0" borderId="15" xfId="0" applyFont="1" applyBorder="1" applyAlignment="1">
      <alignment horizontal="left" vertical="center" wrapText="1" indent="1"/>
    </xf>
    <xf numFmtId="0" fontId="64" fillId="0" borderId="0" xfId="0" applyFont="1" applyBorder="1" applyAlignment="1">
      <alignment horizontal="left" vertical="center" wrapText="1" indent="1"/>
    </xf>
    <xf numFmtId="0" fontId="25" fillId="0" borderId="15" xfId="0" applyFont="1" applyBorder="1" applyAlignment="1">
      <alignment horizontal="left" vertical="center" wrapText="1" indent="1"/>
    </xf>
    <xf numFmtId="0" fontId="25" fillId="0" borderId="0" xfId="0" applyFont="1" applyBorder="1" applyAlignment="1">
      <alignment horizontal="left" vertical="center" wrapText="1" indent="1"/>
    </xf>
    <xf numFmtId="0" fontId="25" fillId="0" borderId="0" xfId="0" applyFont="1" applyAlignment="1">
      <alignment horizontal="left" vertical="center" wrapText="1" indent="1"/>
    </xf>
    <xf numFmtId="0" fontId="24" fillId="0" borderId="15" xfId="0" applyFont="1" applyBorder="1" applyAlignment="1">
      <alignment horizontal="left" vertical="center" wrapText="1" indent="1"/>
    </xf>
    <xf numFmtId="0" fontId="24" fillId="0" borderId="0" xfId="0" applyFont="1" applyBorder="1" applyAlignment="1">
      <alignment horizontal="left" vertical="center" wrapText="1" indent="1"/>
    </xf>
    <xf numFmtId="0" fontId="25" fillId="0" borderId="15" xfId="0" applyFont="1" applyBorder="1" applyAlignment="1">
      <alignment horizontal="left" vertical="center" wrapText="1"/>
    </xf>
    <xf numFmtId="0" fontId="95" fillId="0" borderId="15" xfId="0" applyFont="1" applyBorder="1" applyAlignment="1">
      <alignment horizontal="left" vertical="center" wrapText="1"/>
    </xf>
    <xf numFmtId="0" fontId="95" fillId="0" borderId="0" xfId="0" applyFont="1" applyBorder="1" applyAlignment="1">
      <alignment horizontal="left" vertical="center" wrapText="1"/>
    </xf>
    <xf numFmtId="0" fontId="95" fillId="0" borderId="15" xfId="0" applyFont="1" applyFill="1" applyBorder="1" applyAlignment="1">
      <alignment horizontal="left" vertical="center" wrapText="1"/>
    </xf>
    <xf numFmtId="0" fontId="95" fillId="0" borderId="0" xfId="0" applyFont="1" applyFill="1" applyBorder="1" applyAlignment="1">
      <alignment horizontal="left" vertical="center" wrapText="1"/>
    </xf>
    <xf numFmtId="0" fontId="0" fillId="0" borderId="45" xfId="0" applyBorder="1" applyAlignment="1">
      <alignment horizontal="left"/>
    </xf>
    <xf numFmtId="14" fontId="0" fillId="0" borderId="45" xfId="0" applyNumberFormat="1" applyFont="1" applyBorder="1" applyAlignment="1">
      <alignment horizontal="left"/>
    </xf>
    <xf numFmtId="0" fontId="27" fillId="0" borderId="0" xfId="0" applyFont="1" applyBorder="1" applyAlignment="1">
      <alignment horizontal="center"/>
    </xf>
    <xf numFmtId="0" fontId="36" fillId="0" borderId="0" xfId="0" applyFont="1" applyBorder="1" applyAlignment="1">
      <alignment horizontal="center"/>
    </xf>
    <xf numFmtId="0" fontId="36" fillId="0" borderId="48" xfId="0" applyFont="1" applyBorder="1" applyAlignment="1">
      <alignment horizontal="center"/>
    </xf>
    <xf numFmtId="0" fontId="11" fillId="0" borderId="11" xfId="0" applyFont="1" applyBorder="1" applyAlignment="1">
      <alignment horizontal="left"/>
    </xf>
    <xf numFmtId="0" fontId="11" fillId="0" borderId="21" xfId="0" applyFont="1" applyBorder="1" applyAlignment="1">
      <alignment horizontal="left"/>
    </xf>
    <xf numFmtId="0" fontId="11" fillId="0" borderId="22" xfId="0" applyFont="1" applyBorder="1" applyAlignment="1">
      <alignment horizontal="left"/>
    </xf>
    <xf numFmtId="0" fontId="20" fillId="7" borderId="0" xfId="0" applyFont="1" applyFill="1" applyAlignment="1">
      <alignment horizontal="left"/>
    </xf>
    <xf numFmtId="0" fontId="20" fillId="7" borderId="11" xfId="0" applyFont="1" applyFill="1" applyBorder="1" applyAlignment="1">
      <alignment horizontal="left"/>
    </xf>
    <xf numFmtId="0" fontId="20" fillId="7" borderId="7" xfId="0" applyFont="1" applyFill="1" applyBorder="1" applyAlignment="1">
      <alignment horizontal="left"/>
    </xf>
    <xf numFmtId="0" fontId="11" fillId="0" borderId="11" xfId="0" applyFont="1" applyBorder="1" applyAlignment="1">
      <alignment horizontal="left" vertical="center"/>
    </xf>
    <xf numFmtId="0" fontId="79" fillId="0" borderId="0" xfId="0" applyFont="1" applyAlignment="1">
      <alignment horizontal="left" vertical="center" wrapText="1"/>
    </xf>
    <xf numFmtId="0" fontId="0" fillId="0" borderId="51" xfId="0" applyBorder="1" applyAlignment="1">
      <alignment horizontal="center"/>
    </xf>
    <xf numFmtId="0" fontId="0" fillId="0" borderId="50" xfId="0" applyBorder="1" applyAlignment="1">
      <alignment horizontal="center"/>
    </xf>
    <xf numFmtId="0" fontId="0" fillId="0" borderId="35"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38" xfId="0" applyBorder="1" applyAlignment="1">
      <alignment horizontal="center"/>
    </xf>
  </cellXfs>
  <cellStyles count="32">
    <cellStyle name="Bad" xfId="24" builtinId="27"/>
    <cellStyle name="Followed Hyperlink" xfId="22" builtinId="9" hidden="1"/>
    <cellStyle name="Followed Hyperlink" xfId="26" builtinId="9" hidden="1"/>
    <cellStyle name="Followed Hyperlink" xfId="27" builtinId="9" hidden="1"/>
    <cellStyle name="Followed Hyperlink" xfId="29" builtinId="9" hidden="1"/>
    <cellStyle name="Followed Hyperlink" xfId="30" builtinId="9" hidden="1"/>
    <cellStyle name="Followed Hyperlink" xfId="31" builtinId="9" hidden="1"/>
    <cellStyle name="Followed Hyperlink" xfId="28" builtinId="9" hidden="1"/>
    <cellStyle name="Followed Hyperlink" xfId="21"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0"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Good" xfId="23" builtinId="26"/>
    <cellStyle name="Hyperlink" xfId="8" builtinId="8" hidden="1"/>
    <cellStyle name="Hyperlink" xfId="10" builtinId="8" hidden="1"/>
    <cellStyle name="Hyperlink" xfId="12" builtinId="8" hidden="1"/>
    <cellStyle name="Hyperlink" xfId="16" builtinId="8" hidden="1"/>
    <cellStyle name="Hyperlink" xfId="14" builtinId="8" hidden="1"/>
    <cellStyle name="Hyperlink" xfId="4" builtinId="8" hidden="1"/>
    <cellStyle name="Hyperlink" xfId="6" builtinId="8" hidden="1"/>
    <cellStyle name="Hyperlink" xfId="2" builtinId="8" hidden="1"/>
    <cellStyle name="Hyperlink" xfId="18" builtinId="8"/>
    <cellStyle name="Neutral" xfId="25" builtinId="28"/>
    <cellStyle name="Normal" xfId="0" builtinId="0" customBuiltin="1"/>
    <cellStyle name="Percent" xfId="1" builtinId="5"/>
  </cellStyles>
  <dxfs count="1450">
    <dxf>
      <font>
        <b/>
        <i val="0"/>
      </font>
      <fill>
        <patternFill>
          <bgColor theme="7" tint="0.79998168889431442"/>
        </patternFill>
      </fill>
    </dxf>
    <dxf>
      <font>
        <b/>
        <i val="0"/>
      </font>
      <fill>
        <patternFill>
          <bgColor rgb="FFCCFF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i val="0"/>
        <color rgb="FF00B050"/>
      </font>
    </dxf>
    <dxf>
      <font>
        <color auto="1"/>
      </font>
    </dxf>
    <dxf>
      <font>
        <color auto="1"/>
      </font>
    </dxf>
    <dxf>
      <font>
        <b/>
        <i val="0"/>
        <color rgb="FFFF9900"/>
      </font>
    </dxf>
    <dxf>
      <font>
        <b/>
        <i val="0"/>
        <color rgb="FFFF0000"/>
      </font>
    </dxf>
    <dxf>
      <font>
        <color rgb="FF9C0006"/>
      </font>
    </dxf>
    <dxf>
      <font>
        <b/>
        <i val="0"/>
        <color rgb="FF00B05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lor rgb="FF9C0006"/>
      </font>
      <fill>
        <patternFill>
          <bgColor rgb="FFFFC7CE"/>
        </patternFill>
      </fill>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lor rgb="FF9C0006"/>
      </font>
      <fill>
        <patternFill>
          <bgColor rgb="FFFFC7CE"/>
        </patternFill>
      </fill>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10"/>
      </font>
    </dxf>
    <dxf>
      <font>
        <b/>
        <i val="0"/>
        <condense val="0"/>
        <extend val="0"/>
        <color indexed="53"/>
      </font>
    </dxf>
    <dxf>
      <font>
        <b/>
        <i val="0"/>
        <condense val="0"/>
        <extend val="0"/>
        <color indexed="53"/>
      </font>
    </dxf>
    <dxf>
      <font>
        <b/>
        <i val="0"/>
        <condense val="0"/>
        <extend val="0"/>
        <color indexed="11"/>
      </font>
    </dxf>
    <dxf>
      <font>
        <b/>
        <i val="0"/>
        <condense val="0"/>
        <extend val="0"/>
        <color indexed="10"/>
      </font>
    </dxf>
    <dxf>
      <font>
        <color rgb="FF9C6500"/>
      </font>
      <fill>
        <patternFill>
          <bgColor rgb="FFFFEB9C"/>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lor rgb="FF006100"/>
      </font>
      <fill>
        <patternFill>
          <bgColor rgb="FFC6EF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lor rgb="FF9C0006"/>
      </font>
      <fill>
        <patternFill>
          <bgColor rgb="FFFFC7CE"/>
        </patternFill>
      </fill>
    </dxf>
    <dxf>
      <font>
        <condense val="0"/>
        <extend val="0"/>
        <color indexed="52"/>
      </font>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ndense val="0"/>
        <extend val="0"/>
        <color indexed="11"/>
      </font>
    </dxf>
    <dxf>
      <font>
        <color rgb="FF9C0006"/>
      </font>
      <fill>
        <patternFill>
          <bgColor rgb="FFFFC7CE"/>
        </patternFill>
      </fill>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11"/>
      </font>
    </dxf>
    <dxf>
      <font>
        <condense val="0"/>
        <extend val="0"/>
        <color indexed="52"/>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006100"/>
      </font>
      <fill>
        <patternFill>
          <bgColor rgb="FFC6EF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11"/>
      </font>
    </dxf>
    <dxf>
      <font>
        <color rgb="FF9C0006"/>
      </font>
      <fill>
        <patternFill>
          <bgColor rgb="FFFFC7CE"/>
        </patternFill>
      </fill>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color rgb="FF00FF00"/>
      </font>
    </dxf>
    <dxf>
      <font>
        <color rgb="FFFF9900"/>
      </font>
    </dxf>
    <dxf>
      <font>
        <color rgb="FFFF0000"/>
      </font>
    </dxf>
    <dxf>
      <font>
        <b/>
        <i val="0"/>
        <condense val="0"/>
        <extend val="0"/>
        <color indexed="53"/>
      </font>
    </dxf>
    <dxf>
      <font>
        <b/>
        <i val="0"/>
        <condense val="0"/>
        <extend val="0"/>
        <color indexed="10"/>
      </font>
    </dxf>
    <dxf>
      <font>
        <b/>
        <i val="0"/>
        <condense val="0"/>
        <extend val="0"/>
        <color indexed="11"/>
      </font>
    </dxf>
    <dxf>
      <font>
        <color rgb="FF9C0006"/>
      </font>
      <fill>
        <patternFill>
          <bgColor rgb="FFFFC7CE"/>
        </patternFill>
      </fill>
    </dxf>
    <dxf>
      <font>
        <color rgb="FF006100"/>
      </font>
      <fill>
        <patternFill>
          <bgColor rgb="FFC6EFCE"/>
        </patternFill>
      </fill>
    </dxf>
    <dxf>
      <font>
        <condense val="0"/>
        <extend val="0"/>
        <color indexed="10"/>
      </font>
    </dxf>
    <dxf>
      <font>
        <condense val="0"/>
        <extend val="0"/>
        <color indexed="11"/>
      </font>
    </dxf>
    <dxf>
      <font>
        <color rgb="FF9C0006"/>
      </font>
      <fill>
        <patternFill>
          <bgColor rgb="FFFFC7CE"/>
        </patternFill>
      </fill>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b/>
        <i val="0"/>
        <condense val="0"/>
        <extend val="0"/>
        <color indexed="11"/>
      </font>
    </dxf>
    <dxf>
      <font>
        <b/>
        <i val="0"/>
        <condense val="0"/>
        <extend val="0"/>
        <color indexed="10"/>
      </font>
    </dxf>
    <dxf>
      <font>
        <b/>
        <i val="0"/>
        <condense val="0"/>
        <extend val="0"/>
        <color indexed="53"/>
      </font>
    </dxf>
    <dxf>
      <font>
        <color rgb="FF9C0006"/>
      </font>
      <fill>
        <patternFill>
          <bgColor rgb="FFFFC7CE"/>
        </patternFill>
      </fill>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ndense val="0"/>
        <extend val="0"/>
        <color indexed="52"/>
      </font>
    </dxf>
    <dxf>
      <font>
        <condense val="0"/>
        <extend val="0"/>
        <color indexed="10"/>
      </font>
    </dxf>
    <dxf>
      <font>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color rgb="FF9C0006"/>
      </font>
      <fill>
        <patternFill>
          <bgColor rgb="FFFFC7CE"/>
        </patternFill>
      </fill>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1"/>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1"/>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0"/>
      </font>
    </dxf>
    <dxf>
      <font>
        <b/>
        <i val="0"/>
        <condense val="0"/>
        <extend val="0"/>
        <color indexed="11"/>
      </font>
    </dxf>
    <dxf>
      <font>
        <b/>
        <i val="0"/>
        <condense val="0"/>
        <extend val="0"/>
        <color indexed="53"/>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lor rgb="FF9C0006"/>
      </font>
      <fill>
        <patternFill>
          <bgColor rgb="FFFFC7CE"/>
        </patternFill>
      </fill>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0"/>
      </font>
    </dxf>
    <dxf>
      <font>
        <color rgb="FF9C0006"/>
      </font>
      <fill>
        <patternFill>
          <bgColor rgb="FFFFC7CE"/>
        </patternFill>
      </fill>
    </dxf>
    <dxf>
      <font>
        <condense val="0"/>
        <extend val="0"/>
        <color indexed="52"/>
      </font>
    </dxf>
    <dxf>
      <font>
        <condense val="0"/>
        <extend val="0"/>
        <color indexed="10"/>
      </font>
    </dxf>
    <dxf>
      <font>
        <condense val="0"/>
        <extend val="0"/>
        <color indexed="11"/>
      </font>
    </dxf>
    <dxf>
      <font>
        <condense val="0"/>
        <extend val="0"/>
        <color indexed="11"/>
      </font>
    </dxf>
    <dxf>
      <font>
        <condense val="0"/>
        <extend val="0"/>
        <color indexed="52"/>
      </font>
    </dxf>
    <dxf>
      <font>
        <condense val="0"/>
        <extend val="0"/>
        <color indexed="52"/>
      </font>
    </dxf>
    <dxf>
      <font>
        <condense val="0"/>
        <extend val="0"/>
        <color indexed="10"/>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b/>
        <i val="0"/>
        <condense val="0"/>
        <extend val="0"/>
        <color indexed="53"/>
      </font>
    </dxf>
    <dxf>
      <font>
        <b/>
        <i val="0"/>
        <condense val="0"/>
        <extend val="0"/>
        <color indexed="11"/>
      </font>
    </dxf>
    <dxf>
      <font>
        <b/>
        <i val="0"/>
        <condense val="0"/>
        <extend val="0"/>
        <color indexed="10"/>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color rgb="FF9C6500"/>
      </font>
      <fill>
        <patternFill>
          <bgColor rgb="FFFFEB9C"/>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6500"/>
      </font>
      <fill>
        <patternFill>
          <bgColor rgb="FFFFEB9C"/>
        </patternFill>
      </fill>
    </dxf>
    <dxf>
      <font>
        <condense val="0"/>
        <extend val="0"/>
        <color indexed="52"/>
      </font>
    </dxf>
    <dxf>
      <font>
        <condense val="0"/>
        <extend val="0"/>
        <color indexed="11"/>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52"/>
      </font>
    </dxf>
    <dxf>
      <font>
        <condense val="0"/>
        <extend val="0"/>
        <color indexed="11"/>
      </font>
    </dxf>
    <dxf>
      <font>
        <condense val="0"/>
        <extend val="0"/>
        <color indexed="52"/>
      </font>
    </dxf>
    <dxf>
      <font>
        <condense val="0"/>
        <extend val="0"/>
        <color indexed="11"/>
      </font>
    </dxf>
    <dxf>
      <font>
        <condense val="0"/>
        <extend val="0"/>
        <color indexed="10"/>
      </font>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lor rgb="FF9C0006"/>
      </font>
      <fill>
        <patternFill>
          <bgColor rgb="FFFFC7CE"/>
        </patternFill>
      </fill>
    </dxf>
    <dxf>
      <font>
        <condense val="0"/>
        <extend val="0"/>
        <color indexed="52"/>
      </font>
    </dxf>
    <dxf>
      <font>
        <condense val="0"/>
        <extend val="0"/>
        <color indexed="10"/>
      </font>
    </dxf>
    <dxf>
      <font>
        <condense val="0"/>
        <extend val="0"/>
        <color indexed="11"/>
      </font>
    </dxf>
    <dxf>
      <font>
        <color rgb="FF9C0006"/>
      </font>
      <fill>
        <patternFill>
          <bgColor rgb="FFFFC7CE"/>
        </patternFill>
      </fill>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ndense val="0"/>
        <extend val="0"/>
        <color indexed="10"/>
      </font>
    </dxf>
    <dxf>
      <font>
        <condense val="0"/>
        <extend val="0"/>
        <color indexed="11"/>
      </font>
    </dxf>
    <dxf>
      <font>
        <condense val="0"/>
        <extend val="0"/>
        <color indexed="52"/>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52"/>
      </font>
    </dxf>
    <dxf>
      <font>
        <condense val="0"/>
        <extend val="0"/>
        <color indexed="10"/>
      </font>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52"/>
      </font>
    </dxf>
    <dxf>
      <font>
        <condense val="0"/>
        <extend val="0"/>
        <color indexed="11"/>
      </font>
    </dxf>
    <dxf>
      <font>
        <condense val="0"/>
        <extend val="0"/>
        <color indexed="10"/>
      </font>
    </dxf>
    <dxf>
      <font>
        <color rgb="FF9C0006"/>
      </font>
      <fill>
        <patternFill>
          <bgColor rgb="FFFFC7CE"/>
        </patternFill>
      </fill>
    </dxf>
    <dxf>
      <font>
        <condense val="0"/>
        <extend val="0"/>
        <color indexed="11"/>
      </font>
    </dxf>
    <dxf>
      <font>
        <condense val="0"/>
        <extend val="0"/>
        <color indexed="10"/>
      </font>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b/>
        <i val="0"/>
        <condense val="0"/>
        <extend val="0"/>
        <color indexed="10"/>
      </font>
    </dxf>
    <dxf>
      <font>
        <b/>
        <i val="0"/>
        <condense val="0"/>
        <extend val="0"/>
        <color indexed="11"/>
      </font>
    </dxf>
    <dxf>
      <font>
        <b/>
        <i val="0"/>
        <condense val="0"/>
        <extend val="0"/>
        <color indexed="53"/>
      </font>
    </dxf>
    <dxf>
      <font>
        <b/>
        <i val="0"/>
        <condense val="0"/>
        <extend val="0"/>
        <color indexed="53"/>
      </font>
    </dxf>
    <dxf>
      <font>
        <b/>
        <i val="0"/>
        <condense val="0"/>
        <extend val="0"/>
        <color indexed="10"/>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strike val="0"/>
        <color theme="7" tint="-0.499984740745262"/>
      </font>
      <fill>
        <patternFill>
          <bgColor theme="7" tint="0.59996337778862885"/>
        </patternFill>
      </fill>
    </dxf>
    <dxf>
      <font>
        <color rgb="FF9C6500"/>
      </font>
      <fill>
        <patternFill>
          <bgColor rgb="FFFFEB9C"/>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ndense val="0"/>
        <extend val="0"/>
        <color indexed="10"/>
      </font>
    </dxf>
    <dxf>
      <font>
        <condense val="0"/>
        <extend val="0"/>
        <color indexed="11"/>
      </font>
    </dxf>
    <dxf>
      <font>
        <condense val="0"/>
        <extend val="0"/>
        <color indexed="52"/>
      </font>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53"/>
      </font>
    </dxf>
    <dxf>
      <font>
        <b/>
        <i val="0"/>
        <condense val="0"/>
        <extend val="0"/>
        <color indexed="11"/>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color rgb="FF9C0006"/>
      </font>
      <fill>
        <patternFill>
          <bgColor rgb="FFFFC7CE"/>
        </patternFill>
      </fill>
    </dxf>
    <dxf>
      <font>
        <condense val="0"/>
        <extend val="0"/>
        <color indexed="10"/>
      </font>
    </dxf>
    <dxf>
      <font>
        <condense val="0"/>
        <extend val="0"/>
        <color indexed="52"/>
      </font>
    </dxf>
    <dxf>
      <font>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0"/>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1"/>
      </font>
    </dxf>
    <dxf>
      <font>
        <b/>
        <i val="0"/>
        <condense val="0"/>
        <extend val="0"/>
        <color indexed="53"/>
      </font>
    </dxf>
    <dxf>
      <font>
        <b/>
        <i val="0"/>
        <condense val="0"/>
        <extend val="0"/>
        <color indexed="10"/>
      </font>
    </dxf>
    <dxf>
      <font>
        <b/>
        <i val="0"/>
        <condense val="0"/>
        <extend val="0"/>
        <color indexed="11"/>
      </font>
    </dxf>
    <dxf>
      <font>
        <b/>
        <i val="0"/>
        <condense val="0"/>
        <extend val="0"/>
        <color indexed="53"/>
      </font>
    </dxf>
    <dxf>
      <font>
        <b/>
        <i val="0"/>
        <condense val="0"/>
        <extend val="0"/>
        <color indexed="10"/>
      </font>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ndense val="0"/>
        <extend val="0"/>
        <color indexed="11"/>
      </font>
    </dxf>
    <dxf>
      <font>
        <condense val="0"/>
        <extend val="0"/>
        <color indexed="52"/>
      </font>
    </dxf>
    <dxf>
      <font>
        <condense val="0"/>
        <extend val="0"/>
        <color indexed="10"/>
      </font>
    </dxf>
    <dxf>
      <font>
        <color rgb="FF9C0006"/>
      </font>
      <fill>
        <patternFill>
          <bgColor rgb="FFFFC7CE"/>
        </patternFill>
      </fill>
    </dxf>
    <dxf>
      <font>
        <color rgb="FF9C0006"/>
      </font>
      <fill>
        <patternFill>
          <bgColor rgb="FFFFC7CE"/>
        </patternFill>
      </fill>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
      <font>
        <b/>
        <i val="0"/>
        <condense val="0"/>
        <extend val="0"/>
        <color indexed="10"/>
      </font>
    </dxf>
    <dxf>
      <font>
        <b/>
        <i val="0"/>
        <condense val="0"/>
        <extend val="0"/>
        <color indexed="53"/>
      </font>
    </dxf>
    <dxf>
      <font>
        <b/>
        <i val="0"/>
        <condense val="0"/>
        <extend val="0"/>
        <color indexed="11"/>
      </font>
    </dxf>
  </dxfs>
  <tableStyles count="0" defaultTableStyle="TableStyleMedium9" defaultPivotStyle="PivotStyleMedium7"/>
  <colors>
    <mruColors>
      <color rgb="FFFF9900"/>
      <color rgb="FF6CE74B"/>
      <color rgb="FF5CEF43"/>
      <color rgb="FF00FF00"/>
      <color rgb="FFFFCCCC"/>
      <color rgb="FFCCFFCC"/>
      <color rgb="FFFFC7CE"/>
      <color rgb="FF000285"/>
      <color rgb="FF00047A"/>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320946091309E-2"/>
          <c:y val="0.14253594091869501"/>
          <c:w val="0.93351079232065404"/>
          <c:h val="0.84732937170636702"/>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Summary!$C$94:$C$97</c:f>
              <c:numCache>
                <c:formatCode>0%</c:formatCode>
                <c:ptCount val="4"/>
                <c:pt idx="0">
                  <c:v>0</c:v>
                </c:pt>
                <c:pt idx="1">
                  <c:v>0</c:v>
                </c:pt>
                <c:pt idx="2">
                  <c:v>0</c:v>
                </c:pt>
                <c:pt idx="3">
                  <c:v>0</c:v>
                </c:pt>
              </c:numCache>
            </c:numRef>
          </c:val>
          <c:extLst>
            <c:ext xmlns:c16="http://schemas.microsoft.com/office/drawing/2014/chart" uri="{C3380CC4-5D6E-409C-BE32-E72D297353CC}">
              <c16:uniqueId val="{0000000C-29C8-BB4A-A396-77B21982CBAF}"/>
            </c:ext>
          </c:extLst>
        </c:ser>
        <c:dLbls>
          <c:showLegendKey val="0"/>
          <c:showVal val="0"/>
          <c:showCatName val="0"/>
          <c:showSerName val="0"/>
          <c:showPercent val="0"/>
          <c:showBubbleSize val="0"/>
        </c:dLbls>
        <c:gapWidth val="40"/>
        <c:axId val="6806704"/>
        <c:axId val="7180784"/>
      </c:barChart>
      <c:catAx>
        <c:axId val="6806704"/>
        <c:scaling>
          <c:orientation val="maxMin"/>
        </c:scaling>
        <c:delete val="1"/>
        <c:axPos val="l"/>
        <c:majorTickMark val="out"/>
        <c:minorTickMark val="none"/>
        <c:tickLblPos val="nextTo"/>
        <c:crossAx val="7180784"/>
        <c:crosses val="autoZero"/>
        <c:auto val="1"/>
        <c:lblAlgn val="ctr"/>
        <c:lblOffset val="100"/>
        <c:noMultiLvlLbl val="0"/>
      </c:catAx>
      <c:valAx>
        <c:axId val="718078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0670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54202572902E-2"/>
          <c:y val="9.1888377259192897E-2"/>
          <c:w val="0.93339276219802303"/>
          <c:h val="0.90668004734702301"/>
        </c:manualLayout>
      </c:layout>
      <c:barChart>
        <c:barDir val="bar"/>
        <c:grouping val="clustered"/>
        <c:varyColors val="0"/>
        <c:ser>
          <c:idx val="0"/>
          <c:order val="0"/>
          <c:spPr>
            <a:solidFill>
              <a:srgbClr val="000285"/>
            </a:solidFill>
          </c:spPr>
          <c:invertIfNegative val="0"/>
          <c:val>
            <c:numRef>
              <c:f>Summary!$C$108:$C$115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822272"/>
        <c:axId val="6862448"/>
      </c:barChart>
      <c:catAx>
        <c:axId val="6822272"/>
        <c:scaling>
          <c:orientation val="maxMin"/>
        </c:scaling>
        <c:delete val="1"/>
        <c:axPos val="l"/>
        <c:majorTickMark val="out"/>
        <c:minorTickMark val="none"/>
        <c:tickLblPos val="nextTo"/>
        <c:crossAx val="6862448"/>
        <c:crosses val="autoZero"/>
        <c:auto val="1"/>
        <c:lblAlgn val="ctr"/>
        <c:lblOffset val="100"/>
        <c:noMultiLvlLbl val="0"/>
      </c:catAx>
      <c:valAx>
        <c:axId val="686244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2227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09205821803101E-2"/>
          <c:y val="0.16234873778382899"/>
          <c:w val="0.93333358208050299"/>
          <c:h val="0.83765042898768605"/>
        </c:manualLayout>
      </c:layout>
      <c:barChart>
        <c:barDir val="bar"/>
        <c:grouping val="clustered"/>
        <c:varyColors val="0"/>
        <c:ser>
          <c:idx val="0"/>
          <c:order val="0"/>
          <c:spPr>
            <a:solidFill>
              <a:srgbClr val="000285"/>
            </a:solidFill>
          </c:spPr>
          <c:invertIfNegative val="0"/>
          <c:val>
            <c:numRef>
              <c:f>Summary!$C$118:$C$122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881120"/>
        <c:axId val="6883440"/>
      </c:barChart>
      <c:catAx>
        <c:axId val="6881120"/>
        <c:scaling>
          <c:orientation val="maxMin"/>
        </c:scaling>
        <c:delete val="1"/>
        <c:axPos val="l"/>
        <c:majorTickMark val="out"/>
        <c:minorTickMark val="none"/>
        <c:tickLblPos val="nextTo"/>
        <c:crossAx val="6883440"/>
        <c:crosses val="autoZero"/>
        <c:auto val="1"/>
        <c:lblAlgn val="ctr"/>
        <c:lblOffset val="100"/>
        <c:noMultiLvlLbl val="0"/>
      </c:catAx>
      <c:valAx>
        <c:axId val="68834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8112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54202572902E-2"/>
          <c:y val="0.31201402559055103"/>
          <c:w val="0.93196824019575197"/>
          <c:h val="0.67740389873140905"/>
        </c:manualLayout>
      </c:layout>
      <c:barChart>
        <c:barDir val="bar"/>
        <c:grouping val="clustered"/>
        <c:varyColors val="0"/>
        <c:ser>
          <c:idx val="0"/>
          <c:order val="0"/>
          <c:spPr>
            <a:solidFill>
              <a:srgbClr val="000285"/>
            </a:solidFill>
          </c:spPr>
          <c:invertIfNegative val="0"/>
          <c:val>
            <c:numRef>
              <c:f>Summary!$C$125:$C$129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6456928"/>
        <c:axId val="6459248"/>
      </c:barChart>
      <c:catAx>
        <c:axId val="6456928"/>
        <c:scaling>
          <c:orientation val="maxMin"/>
        </c:scaling>
        <c:delete val="1"/>
        <c:axPos val="l"/>
        <c:majorTickMark val="out"/>
        <c:minorTickMark val="none"/>
        <c:tickLblPos val="nextTo"/>
        <c:crossAx val="6459248"/>
        <c:crosses val="autoZero"/>
        <c:auto val="1"/>
        <c:lblAlgn val="ctr"/>
        <c:lblOffset val="100"/>
        <c:noMultiLvlLbl val="0"/>
      </c:catAx>
      <c:valAx>
        <c:axId val="645924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456928"/>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320946091309E-2"/>
          <c:y val="0.11531034482758599"/>
          <c:w val="0.93351079232065404"/>
          <c:h val="0.88468965517241405"/>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Summary!$C$77:$C$82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38622640"/>
        <c:axId val="17470736"/>
      </c:barChart>
      <c:catAx>
        <c:axId val="-38622640"/>
        <c:scaling>
          <c:orientation val="maxMin"/>
        </c:scaling>
        <c:delete val="1"/>
        <c:axPos val="l"/>
        <c:majorTickMark val="out"/>
        <c:minorTickMark val="none"/>
        <c:tickLblPos val="nextTo"/>
        <c:crossAx val="17470736"/>
        <c:crosses val="autoZero"/>
        <c:auto val="1"/>
        <c:lblAlgn val="ctr"/>
        <c:lblOffset val="100"/>
        <c:noMultiLvlLbl val="0"/>
      </c:catAx>
      <c:valAx>
        <c:axId val="17470736"/>
        <c:scaling>
          <c:orientation val="minMax"/>
          <c:max val="1"/>
          <c:min val="0"/>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862264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221055701371E-2"/>
          <c:y val="0.121382403063619"/>
          <c:w val="0.93330393700787395"/>
          <c:h val="0.87438999774403103"/>
        </c:manualLayout>
      </c:layout>
      <c:barChart>
        <c:barDir val="bar"/>
        <c:grouping val="clustered"/>
        <c:varyColors val="0"/>
        <c:ser>
          <c:idx val="0"/>
          <c:order val="0"/>
          <c:spPr>
            <a:solidFill>
              <a:srgbClr val="000285"/>
            </a:solidFill>
          </c:spPr>
          <c:invertIfNegative val="0"/>
          <c:val>
            <c:numRef>
              <c:f>Summary!$C$85:$C$91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6801952"/>
        <c:axId val="6505040"/>
      </c:barChart>
      <c:catAx>
        <c:axId val="6801952"/>
        <c:scaling>
          <c:orientation val="maxMin"/>
        </c:scaling>
        <c:delete val="1"/>
        <c:axPos val="l"/>
        <c:majorTickMark val="out"/>
        <c:minorTickMark val="none"/>
        <c:tickLblPos val="nextTo"/>
        <c:crossAx val="6505040"/>
        <c:crosses val="autoZero"/>
        <c:auto val="1"/>
        <c:lblAlgn val="ctr"/>
        <c:lblOffset val="100"/>
        <c:noMultiLvlLbl val="0"/>
      </c:catAx>
      <c:valAx>
        <c:axId val="65050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680195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057701230617929"/>
          <c:y val="0.38931570233781754"/>
          <c:w val="0.43843083751510098"/>
          <c:h val="0.5710962626111949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E2-4FD8-98D4-8D1AE59205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E2-4FD8-98D4-8D1AE59205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0E2-4FD8-98D4-8D1AE592054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0E2-4FD8-98D4-8D1AE592054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0E2-4FD8-98D4-8D1AE592054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0E2-4FD8-98D4-8D1AE592054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0E2-4FD8-98D4-8D1AE592054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0E2-4FD8-98D4-8D1AE592054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0E2-4FD8-98D4-8D1AE5920542}"/>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0E2-4FD8-98D4-8D1AE5920542}"/>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0E2-4FD8-98D4-8D1AE5920542}"/>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00E2-4FD8-98D4-8D1AE5920542}"/>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00E2-4FD8-98D4-8D1AE5920542}"/>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00E2-4FD8-98D4-8D1AE5920542}"/>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00E2-4FD8-98D4-8D1AE5920542}"/>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00E2-4FD8-98D4-8D1AE5920542}"/>
              </c:ext>
            </c:extLst>
          </c:dPt>
          <c:cat>
            <c:strRef>
              <c:f>Summary!$B$11:$B$26</c:f>
              <c:strCache>
                <c:ptCount val="16"/>
                <c:pt idx="0">
                  <c:v>Blood Cultures</c:v>
                </c:pt>
                <c:pt idx="1">
                  <c:v>Urine Cultures</c:v>
                </c:pt>
                <c:pt idx="2">
                  <c:v>Stool Cultures</c:v>
                </c:pt>
                <c:pt idx="3">
                  <c:v>Respiratory Cultures (not TB)</c:v>
                </c:pt>
                <c:pt idx="4">
                  <c:v>Wound Cultures</c:v>
                </c:pt>
                <c:pt idx="5">
                  <c:v>Cerebrospinal Fluid Cultures</c:v>
                </c:pt>
                <c:pt idx="6">
                  <c:v>Sterile Body Fluid Cultures (pleural, pericardial, peritoneal, synovial)</c:v>
                </c:pt>
                <c:pt idx="7">
                  <c:v>Genital Cultures</c:v>
                </c:pt>
                <c:pt idx="8">
                  <c:v>Anaerobic Cultures</c:v>
                </c:pt>
                <c:pt idx="9">
                  <c:v>Fungal Cultures (Yeast)</c:v>
                </c:pt>
                <c:pt idx="10">
                  <c:v>Fungal Cultures (Mold)</c:v>
                </c:pt>
                <c:pt idx="11">
                  <c:v>MRSA screen (nares, axilla, groin)</c:v>
                </c:pt>
                <c:pt idx="12">
                  <c:v>VRE screen (rectal swab)</c:v>
                </c:pt>
                <c:pt idx="13">
                  <c:v>CRE screen (rectal swab)</c:v>
                </c:pt>
                <c:pt idx="14">
                  <c:v>ID and/or AST of isolates referred from other laboratories</c:v>
                </c:pt>
                <c:pt idx="15">
                  <c:v>Other cultures of local imoprtance </c:v>
                </c:pt>
              </c:strCache>
            </c:strRef>
          </c:cat>
          <c:val>
            <c:numRef>
              <c:f>Summary!$C$11:$C$26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A5A1-47AF-B378-676CC532049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5.6147578893667944E-3"/>
          <c:w val="0.99296394019349166"/>
          <c:h val="0.99200876793090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6250070983871079"/>
          <c:y val="0.12286643968816764"/>
          <c:w val="0.29971481796965355"/>
          <c:h val="0.76236238958754921"/>
        </c:manualLayout>
      </c:layout>
      <c:pieChart>
        <c:varyColors val="1"/>
        <c:ser>
          <c:idx val="0"/>
          <c:order val="0"/>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522-462D-BC13-A9C97E2BA1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522-462D-BC13-A9C97E2BA1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22-462D-BC13-A9C97E2BA11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22-462D-BC13-A9C97E2BA11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522-462D-BC13-A9C97E2BA11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522-462D-BC13-A9C97E2BA11E}"/>
              </c:ext>
            </c:extLst>
          </c:dPt>
          <c:cat>
            <c:strRef>
              <c:f>Summary!$B$29:$B$34</c:f>
              <c:strCache>
                <c:ptCount val="6"/>
                <c:pt idx="0">
                  <c:v>Automated AST instrument</c:v>
                </c:pt>
                <c:pt idx="1">
                  <c:v>Disk diffusion</c:v>
                </c:pt>
                <c:pt idx="2">
                  <c:v>Gradient Strip (e.g., Etest/Liofilchem)</c:v>
                </c:pt>
                <c:pt idx="3">
                  <c:v>Broth microdilution (96-well tray)</c:v>
                </c:pt>
                <c:pt idx="4">
                  <c:v>Broth macrodilultion (tube method)</c:v>
                </c:pt>
                <c:pt idx="5">
                  <c:v>Agar dilution</c:v>
                </c:pt>
              </c:strCache>
            </c:strRef>
          </c:cat>
          <c:val>
            <c:numRef>
              <c:f>Summary!$C$29:$C$34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6C-40FA-8E5A-19B76CE6F5D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1.2586455696916061E-2"/>
          <c:w val="0.60543577171587071"/>
          <c:h val="0.95072729886191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2659715477402E-2"/>
          <c:y val="6.0333261329530097E-2"/>
          <c:w val="0.933463531393117"/>
          <c:h val="0.93966673867047001"/>
        </c:manualLayout>
      </c:layout>
      <c:barChart>
        <c:barDir val="bar"/>
        <c:grouping val="clustered"/>
        <c:varyColors val="0"/>
        <c:ser>
          <c:idx val="0"/>
          <c:order val="0"/>
          <c:spPr>
            <a:solidFill>
              <a:srgbClr val="000285"/>
            </a:solidFill>
          </c:spPr>
          <c:invertIfNegative val="0"/>
          <c:val>
            <c:numRef>
              <c:f>Summary!$C$48:$C$61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5DC-46FF-B7C2-F190A751AABC}"/>
            </c:ext>
          </c:extLst>
        </c:ser>
        <c:dLbls>
          <c:showLegendKey val="0"/>
          <c:showVal val="0"/>
          <c:showCatName val="0"/>
          <c:showSerName val="0"/>
          <c:showPercent val="0"/>
          <c:showBubbleSize val="0"/>
        </c:dLbls>
        <c:gapWidth val="30"/>
        <c:axId val="-36113536"/>
        <c:axId val="-36111216"/>
      </c:barChart>
      <c:catAx>
        <c:axId val="-36113536"/>
        <c:scaling>
          <c:orientation val="maxMin"/>
        </c:scaling>
        <c:delete val="1"/>
        <c:axPos val="l"/>
        <c:majorTickMark val="out"/>
        <c:minorTickMark val="none"/>
        <c:tickLblPos val="nextTo"/>
        <c:crossAx val="-36111216"/>
        <c:crosses val="autoZero"/>
        <c:auto val="1"/>
        <c:lblAlgn val="ctr"/>
        <c:lblOffset val="100"/>
        <c:noMultiLvlLbl val="0"/>
      </c:catAx>
      <c:valAx>
        <c:axId val="-36111216"/>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6113536"/>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25" r="0.25"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22098799160401E-2"/>
          <c:y val="8.17102369329821E-2"/>
          <c:w val="0.93330395256833998"/>
          <c:h val="0.91361326234773299"/>
        </c:manualLayout>
      </c:layout>
      <c:barChart>
        <c:barDir val="bar"/>
        <c:grouping val="clustered"/>
        <c:varyColors val="0"/>
        <c:ser>
          <c:idx val="0"/>
          <c:order val="0"/>
          <c:spPr>
            <a:solidFill>
              <a:srgbClr val="000090"/>
            </a:solidFill>
            <a:ln w="12700">
              <a:solidFill>
                <a:srgbClr val="000000"/>
              </a:solidFill>
              <a:prstDash val="solid"/>
            </a:ln>
          </c:spPr>
          <c:invertIfNegative val="0"/>
          <c:val>
            <c:numRef>
              <c:f>Summary!$C$64:$C$74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5C1F-FA43-94B5-9A52CB9D9088}"/>
            </c:ext>
          </c:extLst>
        </c:ser>
        <c:dLbls>
          <c:showLegendKey val="0"/>
          <c:showVal val="0"/>
          <c:showCatName val="0"/>
          <c:showSerName val="0"/>
          <c:showPercent val="0"/>
          <c:showBubbleSize val="0"/>
        </c:dLbls>
        <c:gapWidth val="30"/>
        <c:axId val="17158368"/>
        <c:axId val="17160688"/>
      </c:barChart>
      <c:catAx>
        <c:axId val="17158368"/>
        <c:scaling>
          <c:orientation val="maxMin"/>
        </c:scaling>
        <c:delete val="1"/>
        <c:axPos val="l"/>
        <c:majorTickMark val="out"/>
        <c:minorTickMark val="none"/>
        <c:tickLblPos val="nextTo"/>
        <c:crossAx val="17160688"/>
        <c:crosses val="autoZero"/>
        <c:auto val="1"/>
        <c:lblAlgn val="ctr"/>
        <c:lblOffset val="100"/>
        <c:noMultiLvlLbl val="0"/>
      </c:catAx>
      <c:valAx>
        <c:axId val="1716068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158368"/>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19281458285401E-2"/>
          <c:y val="0.180168375179518"/>
          <c:w val="0.93354023838251399"/>
          <c:h val="0.81215965928787204"/>
        </c:manualLayout>
      </c:layout>
      <c:barChart>
        <c:barDir val="bar"/>
        <c:grouping val="clustered"/>
        <c:varyColors val="0"/>
        <c:ser>
          <c:idx val="0"/>
          <c:order val="0"/>
          <c:spPr>
            <a:solidFill>
              <a:srgbClr val="000285"/>
            </a:solidFill>
          </c:spPr>
          <c:invertIfNegative val="0"/>
          <c:val>
            <c:numRef>
              <c:f>Summary!$C$132:$C$135</c:f>
              <c:numCache>
                <c:formatCode>0%</c:formatCode>
                <c:ptCount val="4"/>
                <c:pt idx="0">
                  <c:v>0</c:v>
                </c:pt>
                <c:pt idx="1">
                  <c:v>0</c:v>
                </c:pt>
                <c:pt idx="2">
                  <c:v>0</c:v>
                </c:pt>
                <c:pt idx="3">
                  <c:v>0</c:v>
                </c:pt>
              </c:numCache>
            </c:numRef>
          </c:val>
          <c:extLst>
            <c:ext xmlns:c16="http://schemas.microsoft.com/office/drawing/2014/chart" uri="{C3380CC4-5D6E-409C-BE32-E72D297353CC}">
              <c16:uniqueId val="{00000000-ABF3-CB4C-B420-522E4324C038}"/>
            </c:ext>
          </c:extLst>
        </c:ser>
        <c:dLbls>
          <c:showLegendKey val="0"/>
          <c:showVal val="0"/>
          <c:showCatName val="0"/>
          <c:showSerName val="0"/>
          <c:showPercent val="0"/>
          <c:showBubbleSize val="0"/>
        </c:dLbls>
        <c:gapWidth val="30"/>
        <c:axId val="18164864"/>
        <c:axId val="5039968"/>
      </c:barChart>
      <c:catAx>
        <c:axId val="18164864"/>
        <c:scaling>
          <c:orientation val="maxMin"/>
        </c:scaling>
        <c:delete val="1"/>
        <c:axPos val="l"/>
        <c:majorTickMark val="out"/>
        <c:minorTickMark val="none"/>
        <c:tickLblPos val="nextTo"/>
        <c:crossAx val="5039968"/>
        <c:crosses val="autoZero"/>
        <c:auto val="1"/>
        <c:lblAlgn val="ctr"/>
        <c:lblOffset val="100"/>
        <c:noMultiLvlLbl val="0"/>
      </c:catAx>
      <c:valAx>
        <c:axId val="503996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16486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67708489599E-2"/>
          <c:y val="0.126764173670502"/>
          <c:w val="0.93339273115990695"/>
          <c:h val="0.87068627813029298"/>
        </c:manualLayout>
      </c:layout>
      <c:barChart>
        <c:barDir val="bar"/>
        <c:grouping val="clustered"/>
        <c:varyColors val="0"/>
        <c:ser>
          <c:idx val="0"/>
          <c:order val="0"/>
          <c:spPr>
            <a:solidFill>
              <a:srgbClr val="000285"/>
            </a:solidFill>
          </c:spPr>
          <c:invertIfNegative val="0"/>
          <c:val>
            <c:numRef>
              <c:f>Summary!$C$100:$C$105</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35112752"/>
        <c:axId val="35114528"/>
      </c:barChart>
      <c:catAx>
        <c:axId val="35112752"/>
        <c:scaling>
          <c:orientation val="maxMin"/>
        </c:scaling>
        <c:delete val="1"/>
        <c:axPos val="l"/>
        <c:majorTickMark val="out"/>
        <c:minorTickMark val="none"/>
        <c:tickLblPos val="nextTo"/>
        <c:crossAx val="35114528"/>
        <c:crosses val="autoZero"/>
        <c:auto val="1"/>
        <c:lblAlgn val="ctr"/>
        <c:lblOffset val="100"/>
        <c:noMultiLvlLbl val="0"/>
      </c:catAx>
      <c:valAx>
        <c:axId val="35114528"/>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3511275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24294689499E-2"/>
          <c:y val="5.9136443765424797E-2"/>
          <c:w val="0.93336318527871698"/>
          <c:h val="0.94086355623457496"/>
        </c:manualLayout>
      </c:layout>
      <c:barChart>
        <c:barDir val="bar"/>
        <c:grouping val="clustered"/>
        <c:varyColors val="0"/>
        <c:ser>
          <c:idx val="0"/>
          <c:order val="0"/>
          <c:spPr>
            <a:solidFill>
              <a:srgbClr val="000285"/>
            </a:solidFill>
          </c:spPr>
          <c:invertIfNegative val="0"/>
          <c:val>
            <c:numRef>
              <c:f>Summary!$C$138:$C$152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7038576"/>
        <c:axId val="17040624"/>
      </c:barChart>
      <c:catAx>
        <c:axId val="17038576"/>
        <c:scaling>
          <c:orientation val="maxMin"/>
        </c:scaling>
        <c:delete val="1"/>
        <c:axPos val="l"/>
        <c:numFmt formatCode="General" sourceLinked="1"/>
        <c:majorTickMark val="out"/>
        <c:minorTickMark val="none"/>
        <c:tickLblPos val="nextTo"/>
        <c:crossAx val="17040624"/>
        <c:crosses val="autoZero"/>
        <c:auto val="1"/>
        <c:lblAlgn val="ctr"/>
        <c:lblOffset val="100"/>
        <c:noMultiLvlLbl val="0"/>
      </c:catAx>
      <c:valAx>
        <c:axId val="1704062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038576"/>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086742776306601E-2"/>
          <c:y val="0.13707724897048501"/>
          <c:w val="0.93315539343773601"/>
          <c:h val="0.86292275102951499"/>
        </c:manualLayout>
      </c:layout>
      <c:barChart>
        <c:barDir val="bar"/>
        <c:grouping val="clustered"/>
        <c:varyColors val="0"/>
        <c:ser>
          <c:idx val="0"/>
          <c:order val="0"/>
          <c:spPr>
            <a:solidFill>
              <a:srgbClr val="000285"/>
            </a:solidFill>
          </c:spPr>
          <c:invertIfNegative val="0"/>
          <c:val>
            <c:numRef>
              <c:f>Summary!$C$155:$C$160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8325904"/>
        <c:axId val="18328224"/>
      </c:barChart>
      <c:catAx>
        <c:axId val="18325904"/>
        <c:scaling>
          <c:orientation val="maxMin"/>
        </c:scaling>
        <c:delete val="1"/>
        <c:axPos val="l"/>
        <c:majorTickMark val="out"/>
        <c:minorTickMark val="none"/>
        <c:tickLblPos val="nextTo"/>
        <c:crossAx val="18328224"/>
        <c:crosses val="autoZero"/>
        <c:auto val="1"/>
        <c:lblAlgn val="ctr"/>
        <c:lblOffset val="100"/>
        <c:noMultiLvlLbl val="0"/>
      </c:catAx>
      <c:valAx>
        <c:axId val="18328224"/>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32590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31053644901E-2"/>
          <c:y val="8.3924963924963999E-2"/>
          <c:w val="0.92605674512710801"/>
          <c:h val="0.91138062287668598"/>
        </c:manualLayout>
      </c:layout>
      <c:barChart>
        <c:barDir val="bar"/>
        <c:grouping val="clustered"/>
        <c:varyColors val="0"/>
        <c:ser>
          <c:idx val="0"/>
          <c:order val="0"/>
          <c:spPr>
            <a:solidFill>
              <a:srgbClr val="000285"/>
            </a:solidFill>
          </c:spPr>
          <c:invertIfNegative val="0"/>
          <c:val>
            <c:numRef>
              <c:f>Summary!$C$163:$C$172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7669664"/>
        <c:axId val="17671440"/>
      </c:barChart>
      <c:catAx>
        <c:axId val="17669664"/>
        <c:scaling>
          <c:orientation val="maxMin"/>
        </c:scaling>
        <c:delete val="1"/>
        <c:axPos val="l"/>
        <c:majorTickMark val="out"/>
        <c:minorTickMark val="none"/>
        <c:tickLblPos val="nextTo"/>
        <c:crossAx val="17671440"/>
        <c:crosses val="autoZero"/>
        <c:auto val="1"/>
        <c:lblAlgn val="ctr"/>
        <c:lblOffset val="100"/>
        <c:noMultiLvlLbl val="0"/>
      </c:catAx>
      <c:valAx>
        <c:axId val="1767144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7669664"/>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96331053644901E-2"/>
          <c:y val="0.228514977725045"/>
          <c:w val="0.93197740824137698"/>
          <c:h val="0.77148502227495397"/>
        </c:manualLayout>
      </c:layout>
      <c:barChart>
        <c:barDir val="bar"/>
        <c:grouping val="clustered"/>
        <c:varyColors val="0"/>
        <c:ser>
          <c:idx val="0"/>
          <c:order val="0"/>
          <c:spPr>
            <a:solidFill>
              <a:srgbClr val="000285"/>
            </a:solidFill>
          </c:spPr>
          <c:invertIfNegative val="0"/>
          <c:val>
            <c:numRef>
              <c:f>Summary!$C$175:$C$177</c:f>
              <c:numCache>
                <c:formatCode>0%</c:formatCode>
                <c:ptCount val="3"/>
                <c:pt idx="0">
                  <c:v>0</c:v>
                </c:pt>
                <c:pt idx="1">
                  <c:v>0</c:v>
                </c:pt>
                <c:pt idx="2">
                  <c:v>0</c:v>
                </c:pt>
              </c:numCache>
            </c:numRef>
          </c:val>
          <c:extLst>
            <c:ext xmlns:c16="http://schemas.microsoft.com/office/drawing/2014/chart" uri="{C3380CC4-5D6E-409C-BE32-E72D297353CC}">
              <c16:uniqueId val="{00000001-4873-CC4A-8097-C88013362519}"/>
            </c:ext>
          </c:extLst>
        </c:ser>
        <c:dLbls>
          <c:showLegendKey val="0"/>
          <c:showVal val="0"/>
          <c:showCatName val="0"/>
          <c:showSerName val="0"/>
          <c:showPercent val="0"/>
          <c:showBubbleSize val="0"/>
        </c:dLbls>
        <c:gapWidth val="30"/>
        <c:axId val="18122832"/>
        <c:axId val="18124880"/>
      </c:barChart>
      <c:catAx>
        <c:axId val="18122832"/>
        <c:scaling>
          <c:orientation val="maxMin"/>
        </c:scaling>
        <c:delete val="1"/>
        <c:axPos val="l"/>
        <c:majorTickMark val="out"/>
        <c:minorTickMark val="none"/>
        <c:tickLblPos val="nextTo"/>
        <c:crossAx val="18124880"/>
        <c:crosses val="autoZero"/>
        <c:auto val="1"/>
        <c:lblAlgn val="ctr"/>
        <c:lblOffset val="100"/>
        <c:noMultiLvlLbl val="0"/>
      </c:catAx>
      <c:valAx>
        <c:axId val="1812488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122832"/>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9834609555297E-2"/>
          <c:y val="0.197333333333333"/>
          <c:w val="0.93339274667896899"/>
          <c:h val="0.80266666666666597"/>
        </c:manualLayout>
      </c:layout>
      <c:barChart>
        <c:barDir val="bar"/>
        <c:grouping val="clustered"/>
        <c:varyColors val="0"/>
        <c:ser>
          <c:idx val="0"/>
          <c:order val="0"/>
          <c:spPr>
            <a:solidFill>
              <a:srgbClr val="00047A"/>
            </a:solidFill>
          </c:spPr>
          <c:invertIfNegative val="0"/>
          <c:val>
            <c:numRef>
              <c:f>Summary!$C$180:$C$183</c:f>
              <c:numCache>
                <c:formatCode>0%</c:formatCode>
                <c:ptCount val="4"/>
                <c:pt idx="0">
                  <c:v>0</c:v>
                </c:pt>
                <c:pt idx="1">
                  <c:v>0</c:v>
                </c:pt>
                <c:pt idx="2">
                  <c:v>0</c:v>
                </c:pt>
                <c:pt idx="3">
                  <c:v>0</c:v>
                </c:pt>
              </c:numCache>
            </c:numRef>
          </c:val>
          <c:extLst>
            <c:ext xmlns:c16="http://schemas.microsoft.com/office/drawing/2014/chart" uri="{C3380CC4-5D6E-409C-BE32-E72D297353CC}">
              <c16:uniqueId val="{00000000-ABF3-CB4C-B420-522E4324C038}"/>
            </c:ext>
          </c:extLst>
        </c:ser>
        <c:dLbls>
          <c:showLegendKey val="0"/>
          <c:showVal val="0"/>
          <c:showCatName val="0"/>
          <c:showSerName val="0"/>
          <c:showPercent val="0"/>
          <c:showBubbleSize val="0"/>
        </c:dLbls>
        <c:gapWidth val="30"/>
        <c:axId val="18407680"/>
        <c:axId val="18410000"/>
      </c:barChart>
      <c:catAx>
        <c:axId val="18407680"/>
        <c:scaling>
          <c:orientation val="maxMin"/>
        </c:scaling>
        <c:delete val="1"/>
        <c:axPos val="l"/>
        <c:majorTickMark val="out"/>
        <c:minorTickMark val="none"/>
        <c:tickLblPos val="nextTo"/>
        <c:crossAx val="18410000"/>
        <c:crosses val="autoZero"/>
        <c:auto val="1"/>
        <c:lblAlgn val="ctr"/>
        <c:lblOffset val="100"/>
        <c:noMultiLvlLbl val="0"/>
      </c:catAx>
      <c:valAx>
        <c:axId val="18410000"/>
        <c:scaling>
          <c:orientation val="minMax"/>
          <c:max val="1"/>
        </c:scaling>
        <c:delete val="0"/>
        <c:axPos val="t"/>
        <c:numFmt formatCode="0%" sourceLinked="1"/>
        <c:majorTickMark val="out"/>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Arial"/>
                <a:ea typeface="Arial"/>
                <a:cs typeface="Arial"/>
              </a:defRPr>
            </a:pPr>
            <a:endParaRPr lang="en-US"/>
          </a:p>
        </c:txPr>
        <c:crossAx val="18407680"/>
        <c:crosses val="autoZero"/>
        <c:crossBetween val="between"/>
        <c:majorUnit val="0.1"/>
        <c:minorUnit val="0.02"/>
      </c:valAx>
      <c:spPr>
        <a:gradFill rotWithShape="0">
          <a:gsLst>
            <a:gs pos="79000">
              <a:srgbClr val="FFFF00"/>
            </a:gs>
            <a:gs pos="40000">
              <a:srgbClr val="FF0000"/>
            </a:gs>
            <a:gs pos="100000">
              <a:srgbClr val="00FF00"/>
            </a:gs>
          </a:gsLst>
          <a:lin ang="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3</xdr:col>
      <xdr:colOff>676275</xdr:colOff>
      <xdr:row>25</xdr:row>
      <xdr:rowOff>28575</xdr:rowOff>
    </xdr:from>
    <xdr:to>
      <xdr:col>5</xdr:col>
      <xdr:colOff>237793</xdr:colOff>
      <xdr:row>29</xdr:row>
      <xdr:rowOff>136525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67000" y="6791325"/>
          <a:ext cx="1237918" cy="908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55035</xdr:rowOff>
    </xdr:from>
    <xdr:to>
      <xdr:col>5</xdr:col>
      <xdr:colOff>793750</xdr:colOff>
      <xdr:row>36</xdr:row>
      <xdr:rowOff>118533</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0" y="55035"/>
          <a:ext cx="7584017" cy="70738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INTRODUCTION - ENGLISH</a:t>
          </a:r>
        </a:p>
        <a:p>
          <a:endParaRPr lang="en-US" sz="1100"/>
        </a:p>
        <a:p>
          <a:r>
            <a:rPr lang="en-US" sz="1100">
              <a:solidFill>
                <a:schemeClr val="tx1"/>
              </a:solidFill>
              <a:effectLst/>
              <a:latin typeface="+mn-lt"/>
              <a:ea typeface="+mn-ea"/>
              <a:cs typeface="+mn-cs"/>
            </a:rPr>
            <a:t>Control of antibiotic resistance (AR) is a global public health priority. Robust AR laboratory networks are critical to inform policy and control efforts. Such networks often obtain AR data from clinical laboratories; thus, the usefulness of the aggregate data largely depends on the ability of the laboratories to produce accurate and reliable bacterial identification (ID) and antibiotic susceptibility testing (AST) results.  </a:t>
          </a:r>
        </a:p>
        <a:p>
          <a:endParaRPr lang="en-US"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Many existing laboratory assessment tools are designed to evaluate the essential quality management system (QMS) requirements described by international laboratory standards organizations such as ISO and CLSI. These tools are inadequate to detect deficiencies in bench-level testing because they lack sufficient technical depth and granularity. The LAARC assessment tool is designed to fill that technical gap and is specifically adapted for laboratories in low- and middle- income countries which have not yet established comprehensive laboratory regulations and/or accreditation requirements. The tool contains extensive Quality Control (QC) and Quality Assurance (QA) questions, but it is primarily technical in nature and does not provide a comprehensive QMS assessment.</a:t>
          </a:r>
        </a:p>
        <a:p>
          <a:endParaRPr lang="en-US"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purpose of the LAARC is to objectively evaluate technical proficiency in the bacteriologic techniques and related quality processes that are required for accurate, reliable AR detection. Results provide a clear pathway toward improvement. The LAARC was designed for use in hospital-based laboratories that receive and process clinical specimens for the purposes of routine patient care. National reference laboratories (NRLs) and other public health labs will benefit from the technical assessment, however, the key gaps in assessing NRL capacity include</a:t>
          </a:r>
          <a:r>
            <a:rPr lang="en-US" sz="1100" baseline="0">
              <a:solidFill>
                <a:schemeClr val="tx1"/>
              </a:solidFill>
              <a:effectLst/>
              <a:latin typeface="+mn-lt"/>
              <a:ea typeface="+mn-ea"/>
              <a:cs typeface="+mn-cs"/>
            </a:rPr>
            <a:t> the lack of </a:t>
          </a:r>
          <a:r>
            <a:rPr lang="en-US" sz="1100">
              <a:solidFill>
                <a:schemeClr val="tx1"/>
              </a:solidFill>
              <a:effectLst/>
              <a:latin typeface="+mn-lt"/>
              <a:ea typeface="+mn-ea"/>
              <a:cs typeface="+mn-cs"/>
            </a:rPr>
            <a:t>questions about molecular testing, funding and budget, the non-laboratory personnel required to administer an AMR surveillance program and much more. Other tools are available to assess these areas.</a:t>
          </a:r>
          <a:endParaRPr lang="en-US">
            <a:solidFill>
              <a:schemeClr val="tx1"/>
            </a:solidFill>
            <a:effectLst/>
          </a:endParaRPr>
        </a:p>
        <a:p>
          <a:endParaRPr lang="en-US" sz="1100">
            <a:solidFill>
              <a:schemeClr val="tx1"/>
            </a:solidFill>
          </a:endParaRPr>
        </a:p>
        <a:p>
          <a:r>
            <a:rPr lang="en-US" sz="1100">
              <a:solidFill>
                <a:schemeClr val="tx1"/>
              </a:solidFill>
              <a:effectLst/>
              <a:latin typeface="+mn-lt"/>
              <a:ea typeface="+mn-ea"/>
              <a:cs typeface="+mn-cs"/>
            </a:rPr>
            <a:t>The LAARC was built around the WHO priority AR specimen types, pathogens and antibiotics included in their Global Antimicrobial Resistance Surveillance System (GLASS) initiative of 2015</a:t>
          </a:r>
          <a:r>
            <a:rPr lang="en-US" sz="1100">
              <a:solidFill>
                <a:schemeClr val="tx1"/>
              </a:solidFill>
            </a:rPr>
            <a:t>. These are:</a:t>
          </a:r>
          <a:endParaRPr lang="en-US" sz="1100" strike="sngStrike" baseline="0">
            <a:solidFill>
              <a:schemeClr val="tx1"/>
            </a:solidFill>
          </a:endParaRPr>
        </a:p>
        <a:p>
          <a:endParaRPr lang="en-US" sz="1100">
            <a:solidFill>
              <a:schemeClr val="tx1"/>
            </a:solidFill>
          </a:endParaRPr>
        </a:p>
        <a:p>
          <a:pPr lvl="1"/>
          <a:r>
            <a:rPr lang="en-US" sz="1100">
              <a:solidFill>
                <a:schemeClr val="tx1"/>
              </a:solidFill>
            </a:rPr>
            <a:t>•	</a:t>
          </a:r>
          <a:r>
            <a:rPr lang="en-US" sz="1100" i="1">
              <a:solidFill>
                <a:schemeClr val="tx1"/>
              </a:solidFill>
              <a:effectLst/>
              <a:latin typeface="+mn-lt"/>
              <a:ea typeface="+mn-ea"/>
              <a:cs typeface="+mn-cs"/>
            </a:rPr>
            <a:t>Staphylococcus aureus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a:solidFill>
                <a:schemeClr val="tx1"/>
              </a:solidFill>
              <a:effectLst/>
              <a:latin typeface="+mn-lt"/>
              <a:ea typeface="+mn-ea"/>
              <a:cs typeface="+mn-cs"/>
            </a:rPr>
            <a:t>•	</a:t>
          </a:r>
          <a:r>
            <a:rPr lang="en-US" sz="1100" i="1">
              <a:solidFill>
                <a:schemeClr val="tx1"/>
              </a:solidFill>
              <a:effectLst/>
              <a:latin typeface="+mn-lt"/>
              <a:ea typeface="+mn-ea"/>
              <a:cs typeface="+mn-cs"/>
            </a:rPr>
            <a:t>Streptococcus pneumoniae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i="1">
              <a:solidFill>
                <a:schemeClr val="tx1"/>
              </a:solidFill>
              <a:effectLst/>
              <a:latin typeface="+mn-lt"/>
              <a:ea typeface="+mn-ea"/>
              <a:cs typeface="+mn-cs"/>
            </a:rPr>
            <a:t>•	Escherichia coli 		</a:t>
          </a:r>
          <a:r>
            <a:rPr lang="en-US" sz="1100" i="0">
              <a:solidFill>
                <a:schemeClr val="tx1"/>
              </a:solidFill>
              <a:effectLst/>
              <a:latin typeface="+mn-lt"/>
              <a:ea typeface="+mn-ea"/>
              <a:cs typeface="+mn-cs"/>
            </a:rPr>
            <a:t>Blood</a:t>
          </a:r>
          <a:r>
            <a:rPr lang="en-US" sz="1100" i="0" baseline="0">
              <a:solidFill>
                <a:schemeClr val="tx1"/>
              </a:solidFill>
              <a:effectLst/>
              <a:latin typeface="+mn-lt"/>
              <a:ea typeface="+mn-ea"/>
              <a:cs typeface="+mn-cs"/>
            </a:rPr>
            <a:t> &amp; Urine</a:t>
          </a:r>
          <a:endParaRPr lang="en-US">
            <a:solidFill>
              <a:schemeClr val="tx1"/>
            </a:solidFill>
            <a:effectLst/>
          </a:endParaRPr>
        </a:p>
        <a:p>
          <a:pPr lvl="1"/>
          <a:r>
            <a:rPr lang="en-US" sz="1100" i="1">
              <a:solidFill>
                <a:schemeClr val="tx1"/>
              </a:solidFill>
              <a:effectLst/>
              <a:latin typeface="+mn-lt"/>
              <a:ea typeface="+mn-ea"/>
              <a:cs typeface="+mn-cs"/>
            </a:rPr>
            <a:t>•	Klebsiella pneumoniae 	</a:t>
          </a:r>
          <a:r>
            <a:rPr lang="en-US" sz="1100" i="0">
              <a:solidFill>
                <a:schemeClr val="tx1"/>
              </a:solidFill>
              <a:effectLst/>
              <a:latin typeface="+mn-lt"/>
              <a:ea typeface="+mn-ea"/>
              <a:cs typeface="+mn-cs"/>
            </a:rPr>
            <a:t>Blood</a:t>
          </a:r>
          <a:r>
            <a:rPr lang="en-US" sz="1100" i="0" baseline="0">
              <a:solidFill>
                <a:schemeClr val="tx1"/>
              </a:solidFill>
              <a:effectLst/>
              <a:latin typeface="+mn-lt"/>
              <a:ea typeface="+mn-ea"/>
              <a:cs typeface="+mn-cs"/>
            </a:rPr>
            <a:t> &amp; Urine</a:t>
          </a:r>
          <a:endParaRPr lang="en-US">
            <a:solidFill>
              <a:schemeClr val="tx1"/>
            </a:solidFill>
            <a:effectLst/>
          </a:endParaRPr>
        </a:p>
        <a:p>
          <a:pPr lvl="1"/>
          <a:r>
            <a:rPr lang="en-US" sz="1100" i="1">
              <a:solidFill>
                <a:schemeClr val="tx1"/>
              </a:solidFill>
              <a:effectLst/>
              <a:latin typeface="+mn-lt"/>
              <a:ea typeface="+mn-ea"/>
              <a:cs typeface="+mn-cs"/>
            </a:rPr>
            <a:t>•	Salmonella species	</a:t>
          </a:r>
          <a:r>
            <a:rPr lang="en-US" sz="1100" i="0">
              <a:solidFill>
                <a:schemeClr val="tx1"/>
              </a:solidFill>
              <a:effectLst/>
              <a:latin typeface="+mn-lt"/>
              <a:ea typeface="+mn-ea"/>
              <a:cs typeface="+mn-cs"/>
            </a:rPr>
            <a:t>Stool/Faeces</a:t>
          </a:r>
          <a:endParaRPr lang="en-US">
            <a:solidFill>
              <a:schemeClr val="tx1"/>
            </a:solidFill>
            <a:effectLst/>
          </a:endParaRPr>
        </a:p>
        <a:p>
          <a:pPr lvl="1"/>
          <a:r>
            <a:rPr lang="en-US" sz="1100" i="1">
              <a:solidFill>
                <a:schemeClr val="tx1"/>
              </a:solidFill>
              <a:effectLst/>
              <a:latin typeface="+mn-lt"/>
              <a:ea typeface="+mn-ea"/>
              <a:cs typeface="+mn-cs"/>
            </a:rPr>
            <a:t>•	Shigella species 		</a:t>
          </a:r>
          <a:r>
            <a:rPr lang="en-US" sz="1100" i="0">
              <a:solidFill>
                <a:schemeClr val="tx1"/>
              </a:solidFill>
              <a:effectLst/>
              <a:latin typeface="+mn-lt"/>
              <a:ea typeface="+mn-ea"/>
              <a:cs typeface="+mn-cs"/>
            </a:rPr>
            <a:t>Stool/Faeces</a:t>
          </a:r>
          <a:endParaRPr lang="en-US">
            <a:solidFill>
              <a:schemeClr val="tx1"/>
            </a:solidFill>
            <a:effectLst/>
          </a:endParaRPr>
        </a:p>
        <a:p>
          <a:pPr lvl="1"/>
          <a:r>
            <a:rPr lang="en-US" sz="1100" i="1">
              <a:solidFill>
                <a:schemeClr val="tx1"/>
              </a:solidFill>
              <a:effectLst/>
              <a:latin typeface="+mn-lt"/>
              <a:ea typeface="+mn-ea"/>
              <a:cs typeface="+mn-cs"/>
            </a:rPr>
            <a:t>•	Acinetobacter baumannii*	</a:t>
          </a:r>
          <a:r>
            <a:rPr lang="en-US" sz="1100" i="0">
              <a:solidFill>
                <a:schemeClr val="tx1"/>
              </a:solidFill>
              <a:effectLst/>
              <a:latin typeface="+mn-lt"/>
              <a:ea typeface="+mn-ea"/>
              <a:cs typeface="+mn-cs"/>
            </a:rPr>
            <a:t>Blood</a:t>
          </a:r>
          <a:endParaRPr lang="en-US">
            <a:solidFill>
              <a:schemeClr val="tx1"/>
            </a:solidFill>
            <a:effectLst/>
          </a:endParaRPr>
        </a:p>
        <a:p>
          <a:pPr lvl="1"/>
          <a:r>
            <a:rPr lang="en-US" sz="1100" i="1">
              <a:solidFill>
                <a:schemeClr val="tx1"/>
              </a:solidFill>
              <a:effectLst/>
              <a:latin typeface="+mn-lt"/>
              <a:ea typeface="+mn-ea"/>
              <a:cs typeface="+mn-cs"/>
            </a:rPr>
            <a:t>•	Neisseria gonorrhoeae**	</a:t>
          </a:r>
          <a:r>
            <a:rPr lang="en-US" sz="1100" i="0">
              <a:solidFill>
                <a:schemeClr val="tx1"/>
              </a:solidFill>
              <a:effectLst/>
              <a:latin typeface="+mn-lt"/>
              <a:ea typeface="+mn-ea"/>
              <a:cs typeface="+mn-cs"/>
            </a:rPr>
            <a:t>Urethral</a:t>
          </a:r>
          <a:r>
            <a:rPr lang="en-US" sz="1100" i="0" baseline="0">
              <a:solidFill>
                <a:schemeClr val="tx1"/>
              </a:solidFill>
              <a:effectLst/>
              <a:latin typeface="+mn-lt"/>
              <a:ea typeface="+mn-ea"/>
              <a:cs typeface="+mn-cs"/>
            </a:rPr>
            <a:t> &amp; cervical swabs</a:t>
          </a:r>
          <a:endParaRPr lang="en-US">
            <a:solidFill>
              <a:schemeClr val="tx1"/>
            </a:solidFill>
            <a:effectLst/>
          </a:endParaRPr>
        </a:p>
        <a:p>
          <a:endParaRPr lang="en-US" sz="1100">
            <a:solidFill>
              <a:schemeClr val="tx1"/>
            </a:solidFill>
          </a:endParaRPr>
        </a:p>
        <a:p>
          <a:r>
            <a:rPr lang="en-US" sz="1100">
              <a:solidFill>
                <a:schemeClr val="tx1"/>
              </a:solidFill>
              <a:effectLst/>
              <a:latin typeface="+mn-lt"/>
              <a:ea typeface="+mn-ea"/>
              <a:cs typeface="+mn-cs"/>
            </a:rPr>
            <a:t>Additional culture types, pathogens and antibiotics may be evaluated pursuant to national priorities; however, the current iteration of this tool focuses only on the above;</a:t>
          </a:r>
          <a:r>
            <a:rPr lang="en-US" sz="1100" baseline="0">
              <a:solidFill>
                <a:schemeClr val="tx1"/>
              </a:solidFill>
              <a:effectLst/>
              <a:latin typeface="+mn-lt"/>
              <a:ea typeface="+mn-ea"/>
              <a:cs typeface="+mn-cs"/>
            </a:rPr>
            <a:t> users cannot edit or modify the tool. </a:t>
          </a:r>
        </a:p>
        <a:p>
          <a:endParaRPr lang="en-US" sz="1100">
            <a:solidFill>
              <a:schemeClr val="tx1"/>
            </a:solidFill>
          </a:endParaRPr>
        </a:p>
        <a:p>
          <a:r>
            <a:rPr lang="en-US" sz="900">
              <a:solidFill>
                <a:schemeClr val="tx1"/>
              </a:solidFill>
            </a:rPr>
            <a:t>*Most labs are unable to definitively differentiate </a:t>
          </a:r>
          <a:r>
            <a:rPr lang="en-US" sz="900" i="1">
              <a:solidFill>
                <a:schemeClr val="tx1"/>
              </a:solidFill>
            </a:rPr>
            <a:t>Acinetobacter calcoaceticus </a:t>
          </a:r>
          <a:r>
            <a:rPr lang="en-US" sz="900">
              <a:solidFill>
                <a:schemeClr val="tx1"/>
              </a:solidFill>
            </a:rPr>
            <a:t>from </a:t>
          </a:r>
          <a:r>
            <a:rPr lang="en-US" sz="900" i="1">
              <a:solidFill>
                <a:schemeClr val="tx1"/>
              </a:solidFill>
            </a:rPr>
            <a:t>A. baumannii, </a:t>
          </a:r>
          <a:r>
            <a:rPr lang="en-US" sz="900">
              <a:solidFill>
                <a:schemeClr val="tx1"/>
              </a:solidFill>
            </a:rPr>
            <a:t>so in practice this refers to </a:t>
          </a:r>
          <a:r>
            <a:rPr lang="en-US" sz="900" i="1">
              <a:solidFill>
                <a:schemeClr val="tx1"/>
              </a:solidFill>
            </a:rPr>
            <a:t>Acinetobacter calcoaceticus-baumannii</a:t>
          </a:r>
          <a:r>
            <a:rPr lang="en-US" sz="900">
              <a:solidFill>
                <a:schemeClr val="tx1"/>
              </a:solidFill>
            </a:rPr>
            <a:t> complex</a:t>
          </a:r>
        </a:p>
        <a:p>
          <a:r>
            <a:rPr lang="en-US" sz="900">
              <a:solidFill>
                <a:schemeClr val="tx1"/>
              </a:solidFill>
            </a:rPr>
            <a:t>** </a:t>
          </a:r>
          <a:r>
            <a:rPr lang="en-US" sz="900" i="1">
              <a:solidFill>
                <a:schemeClr val="tx1"/>
              </a:solidFill>
            </a:rPr>
            <a:t>N.gonorrhoeae </a:t>
          </a:r>
          <a:r>
            <a:rPr lang="en-US" sz="900">
              <a:solidFill>
                <a:schemeClr val="tx1"/>
              </a:solidFill>
            </a:rPr>
            <a:t>was excluded from this tool due to the complexities involved with routine culture and recovery, identification and AST, and the existence of other surveillance networks and STD clinics dedicated exclusively to this pathogen.</a:t>
          </a:r>
          <a:endParaRPr lang="en-US" sz="1050">
            <a:solidFill>
              <a:schemeClr val="tx1"/>
            </a:solidFill>
          </a:endParaRPr>
        </a:p>
        <a:p>
          <a:r>
            <a:rPr lang="en-US" sz="1100">
              <a:solidFill>
                <a:schemeClr val="tx1"/>
              </a:solidFill>
            </a:rPr>
            <a:t> </a:t>
          </a:r>
        </a:p>
        <a:p>
          <a:endParaRPr lang="en-US" sz="1100"/>
        </a:p>
        <a:p>
          <a:endParaRPr lang="en-US" sz="1100"/>
        </a:p>
      </xdr:txBody>
    </xdr:sp>
    <xdr:clientData/>
  </xdr:twoCellAnchor>
  <xdr:twoCellAnchor>
    <xdr:from>
      <xdr:col>0</xdr:col>
      <xdr:colOff>0</xdr:colOff>
      <xdr:row>124</xdr:row>
      <xdr:rowOff>0</xdr:rowOff>
    </xdr:from>
    <xdr:to>
      <xdr:col>5</xdr:col>
      <xdr:colOff>792511</xdr:colOff>
      <xdr:row>159</xdr:row>
      <xdr:rowOff>104162</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0" y="32596667"/>
          <a:ext cx="7565844" cy="7018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INTRODUÇÃO - PORTUGUÊS</a:t>
          </a:r>
        </a:p>
        <a:p>
          <a:endParaRPr lang="en-US" sz="1100"/>
        </a:p>
        <a:p>
          <a:r>
            <a:rPr lang="pt-BR" sz="1100">
              <a:solidFill>
                <a:schemeClr val="dk1"/>
              </a:solidFill>
              <a:effectLst/>
              <a:latin typeface="+mn-lt"/>
              <a:ea typeface="+mn-ea"/>
              <a:cs typeface="+mn-cs"/>
            </a:rPr>
            <a:t>O controle da resistência a antibióticos (RA) é uma prioridade global da saúde pública. Redes robustas de laboratório de RA são essenciais para informar sobre políticas e os esforços de controle. Tais redes geralmente obtêm dados de RA de laboratórios clínicos; portanto, a utilidade dos dados agregados depende em grande parte da capacidade dos laboratórios de produzir resultados precisos e fiáveis ​​de identificação bacteriana (ID) e dos testes de sensibilidade a antibióticos (TSA).</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Muitas ferramentas de avaliação de laboratório existentes são projetadas para avaliar os requisitos essenciais do sistema de gestão da qualidade (SGQ) descritos por organizações internacionais de normalização de laboratório, como ISO e CLSI. Essas ferramentas são inadequadas para detectar deficiências nos testes em nível de bancada porque não possuem profundidade técnica e granularidade suficientes. A ferramenta de avaliação LAARC foi projetada para preencher essa lacuna técnica e é especificamente adaptada para laboratórios de países com renda baixa e média que ainda não estabeleceram regulamentos laboratoriais abrangentes e / ou requisitos de acreditação. A ferramenta contém perguntas abrangentes sobre Controle de Qualidade (CQ) e Garantia de Qualidade (QA), entretanto é de natureza principalmente técnica e não fornece uma avaliação abrangente do SGQ.</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O objetivo da LAARC é avaliar objetivamente a proficiência técnica nas técnicas bacteriológicas e nos processos de qualidade relacionados, necessários para a detecção precisa e fiável da RA. Os resultados fornecem um caminho claro para a melhoria. A LAARC foi projetada para uso em laboratórios hospitalares que recebem e processam amostras clínicas para fins de atendimento de rotina ao paciente. Os laboratórios nacionais de referência (LNRs) e outros laboratórios de saúde pública se beneficiarão da avaliação técnica; no entanto, as principais lacunas na avaliação da capacidade dos LNRs incluem a falta de perguntas sobre testes moleculares, financiamento e orçamento, o pessoal não laboratorial necessário para administrar um programa de vigilância RAM e muito mais. Outras ferramentas estão disponíveis para avaliar essas áreas.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A LAARC foi construída em torno dos tipos de espécimes prioritários da RA para OMS, patógenos e antibióticos incluídos em sua iniciativa do Sistema Global de Vigilância de Resistência Antimicrobiana (GLASS) de 2015. São eles:</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r>
            <a:rPr lang="pt-BR" sz="1100" i="1">
              <a:solidFill>
                <a:schemeClr val="dk1"/>
              </a:solidFill>
              <a:effectLst/>
              <a:latin typeface="+mn-lt"/>
              <a:ea typeface="+mn-ea"/>
              <a:cs typeface="+mn-cs"/>
            </a:rPr>
            <a:t>Staphylococcus aureus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r>
            <a:rPr lang="pt-BR" sz="1100" i="1">
              <a:solidFill>
                <a:schemeClr val="dk1"/>
              </a:solidFill>
              <a:effectLst/>
              <a:latin typeface="+mn-lt"/>
              <a:ea typeface="+mn-ea"/>
              <a:cs typeface="+mn-cs"/>
            </a:rPr>
            <a:t>Streptococcus pneumoniae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Escherichia coli 			</a:t>
          </a:r>
          <a:r>
            <a:rPr lang="pt-BR" sz="1100">
              <a:solidFill>
                <a:schemeClr val="dk1"/>
              </a:solidFill>
              <a:effectLst/>
              <a:latin typeface="+mn-lt"/>
              <a:ea typeface="+mn-ea"/>
              <a:cs typeface="+mn-cs"/>
            </a:rPr>
            <a:t>Sangue &amp; Urina</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Klebsiella pneumoniae 		</a:t>
          </a:r>
          <a:r>
            <a:rPr lang="pt-BR" sz="1100">
              <a:solidFill>
                <a:schemeClr val="dk1"/>
              </a:solidFill>
              <a:effectLst/>
              <a:latin typeface="+mn-lt"/>
              <a:ea typeface="+mn-ea"/>
              <a:cs typeface="+mn-cs"/>
            </a:rPr>
            <a:t>Sangue &amp; Urina</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espécies de Salmonella		</a:t>
          </a:r>
          <a:r>
            <a:rPr lang="pt-BR" sz="1100">
              <a:solidFill>
                <a:schemeClr val="dk1"/>
              </a:solidFill>
              <a:effectLst/>
              <a:latin typeface="+mn-lt"/>
              <a:ea typeface="+mn-ea"/>
              <a:cs typeface="+mn-cs"/>
            </a:rPr>
            <a:t>Fezes </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espécies de Shigella 		</a:t>
          </a:r>
          <a:r>
            <a:rPr lang="pt-BR" sz="1100">
              <a:solidFill>
                <a:schemeClr val="dk1"/>
              </a:solidFill>
              <a:effectLst/>
              <a:latin typeface="+mn-lt"/>
              <a:ea typeface="+mn-ea"/>
              <a:cs typeface="+mn-cs"/>
            </a:rPr>
            <a:t>Fezes </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Acinetobacter baumannii *		</a:t>
          </a:r>
          <a:r>
            <a:rPr lang="pt-BR" sz="1100">
              <a:solidFill>
                <a:schemeClr val="dk1"/>
              </a:solidFill>
              <a:effectLst/>
              <a:latin typeface="+mn-lt"/>
              <a:ea typeface="+mn-ea"/>
              <a:cs typeface="+mn-cs"/>
            </a:rPr>
            <a:t>Sangue</a:t>
          </a:r>
          <a:endParaRPr lang="en-US" sz="1100">
            <a:solidFill>
              <a:schemeClr val="dk1"/>
            </a:solidFill>
            <a:effectLst/>
            <a:latin typeface="+mn-lt"/>
            <a:ea typeface="+mn-ea"/>
            <a:cs typeface="+mn-cs"/>
          </a:endParaRPr>
        </a:p>
        <a:p>
          <a:r>
            <a:rPr lang="pt-BR" sz="1100" i="1">
              <a:solidFill>
                <a:schemeClr val="dk1"/>
              </a:solidFill>
              <a:effectLst/>
              <a:latin typeface="+mn-lt"/>
              <a:ea typeface="+mn-ea"/>
              <a:cs typeface="+mn-cs"/>
            </a:rPr>
            <a:t>•	Neisseria gonorrhoeae**		</a:t>
          </a:r>
          <a:r>
            <a:rPr lang="pt-BR" sz="1100">
              <a:solidFill>
                <a:schemeClr val="dk1"/>
              </a:solidFill>
              <a:effectLst/>
              <a:latin typeface="+mn-lt"/>
              <a:ea typeface="+mn-ea"/>
              <a:cs typeface="+mn-cs"/>
            </a:rPr>
            <a:t>Swabs Uretral e cervical</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pt-BR" sz="1100">
              <a:solidFill>
                <a:schemeClr val="dk1"/>
              </a:solidFill>
              <a:effectLst/>
              <a:latin typeface="+mn-lt"/>
              <a:ea typeface="+mn-ea"/>
              <a:cs typeface="+mn-cs"/>
            </a:rPr>
            <a:t>Tipos de cultura, patógenos e antibióticos adicionais podem ser avaliados de acordo com as prioridades nacionais; no entanto, a iteração atual dessa ferramenta se concentra apenas nos descritos acima; os usuários não podem editar ou modificar a ferramenta.</a:t>
          </a:r>
          <a:endParaRPr lang="en-US" sz="1100"/>
        </a:p>
        <a:p>
          <a:endParaRPr lang="en-US" sz="1100"/>
        </a:p>
        <a:p>
          <a:r>
            <a:rPr lang="en-US" sz="900"/>
            <a:t>** A maior parte dos laboratórios não são capazes de diferenciar definitivamente </a:t>
          </a:r>
          <a:r>
            <a:rPr lang="en-US" sz="900" i="1"/>
            <a:t>Acinetobacter calcoaceticus </a:t>
          </a:r>
          <a:r>
            <a:rPr lang="en-US" sz="900"/>
            <a:t>de </a:t>
          </a:r>
          <a:r>
            <a:rPr lang="en-US" sz="900" i="1"/>
            <a:t>A. baumannii</a:t>
          </a:r>
          <a:r>
            <a:rPr lang="en-US" sz="900"/>
            <a:t>, assim, na prática, refere-se ao complexo </a:t>
          </a:r>
          <a:r>
            <a:rPr lang="en-US" sz="900" i="1"/>
            <a:t>Acinetobacter calcoaceticus-baumannii </a:t>
          </a:r>
          <a:endParaRPr lang="en-US" sz="900"/>
        </a:p>
        <a:p>
          <a:r>
            <a:rPr lang="en-US" sz="900"/>
            <a:t>** </a:t>
          </a:r>
          <a:r>
            <a:rPr lang="en-US" sz="900" i="1"/>
            <a:t>N. gonorrhoeae </a:t>
          </a:r>
          <a:r>
            <a:rPr lang="en-US" sz="900"/>
            <a:t>foi excluída dessa ferramenta devido às complexidades envolvidas com a rotina de cultura e recuperação, identificação e TSA, e pela</a:t>
          </a:r>
          <a:r>
            <a:rPr lang="en-US" sz="900" baseline="0"/>
            <a:t> </a:t>
          </a:r>
          <a:r>
            <a:rPr lang="en-US" sz="900"/>
            <a:t> existência de outras redes de vigilância e clínicas de IST dedicadas exclusivamente a este patógeno.</a:t>
          </a:r>
          <a:endParaRPr lang="en-US" sz="1050"/>
        </a:p>
        <a:p>
          <a:endParaRPr lang="en-US" sz="1100"/>
        </a:p>
      </xdr:txBody>
    </xdr:sp>
    <xdr:clientData/>
  </xdr:twoCellAnchor>
  <xdr:twoCellAnchor>
    <xdr:from>
      <xdr:col>0</xdr:col>
      <xdr:colOff>0</xdr:colOff>
      <xdr:row>82</xdr:row>
      <xdr:rowOff>0</xdr:rowOff>
    </xdr:from>
    <xdr:to>
      <xdr:col>5</xdr:col>
      <xdr:colOff>770467</xdr:colOff>
      <xdr:row>121</xdr:row>
      <xdr:rowOff>23739</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0" y="22195327"/>
          <a:ext cx="7559626" cy="78929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solidFill>
                <a:srgbClr val="0070C0"/>
              </a:solidFill>
            </a:rPr>
            <a:t>INTRODUCCIÓN - ESPAÑOL</a:t>
          </a:r>
        </a:p>
        <a:p>
          <a:br>
            <a:rPr lang="es-ES"/>
          </a:br>
          <a:r>
            <a:rPr lang="es-ES" sz="1100">
              <a:solidFill>
                <a:schemeClr val="dk1"/>
              </a:solidFill>
              <a:effectLst/>
              <a:latin typeface="+mn-lt"/>
              <a:ea typeface="+mn-ea"/>
              <a:cs typeface="+mn-cs"/>
            </a:rPr>
            <a:t>El control de la resistencia a antibióticos (RAM) es una prioridad mundial de salud pública. Es fundamental que para informar sobre los esfuerzos de políticas y control haya unas sólidas redes de laboratorios RAM. Dichas redes a menudo obtienen datos de RAM a partir de laboratorios clínicos; por lo tanto, la utilidad de los datos agregados depende en gran medida de la capacidad de los laboratorios para producir resultados precisos y fiables de identificación bacteriana (ID) y pruebas de sensibilidad a los antibióticos (PSA).</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Muchas de las herramientas ya existentes de evaluación de laboratorio están diseñadas para evaluar los requisitos esenciales del sistema de gestión de calidad (SGC) descritos por organizaciones internacionales de estándares de laboratorio como ISO y CLSI. Estas herramientas no son adecuadas para detectar deficiencias en las pruebas a nivel de poyata ya que carecen de suficiente profundidad técnica y nivel de detalle. La herramienta de evaluación LAARC está diseñada para llenar ese vacío técnico y está específicamente adaptada para laboratorios en países de bajos y medianos ingresos que aún no han establecido regulaciones integrales de laboratorio y / o requisitos de acreditación. La herramienta contiene preguntas exhaustivas de Control de Calidad (CC) y Garantía de calidad (GC), pero es principalmente de naturaleza técnica y no proporciona una evaluación integral de SGC.</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El propósito de la herramienta LAARC es evaluar objetivamente la competencia técnica en las técnicas bacteriológicas y los procesos de calidad relacionados que se requieren para la detección precisa y fiable de RAM. Los resultados proporcionan un camino claro hacia la mejora. La herramienta LAARC fue diseñada para su uso en laboratorios hospitalarios que reciben y procesan muestras clínicas con fines de atención de rutina al paciente. Los laboratorios nacionales de referencia (LNRs) y otros laboratorios de salud pública se beneficiarán de la evaluación técnica, sin embargo, no se incluyen preguntas para evaluar las capacidades clave de los LNRs sobre métodos moleculares, financiación y presupuesto, personal que no sea de laboratorio requerido para administrar un programa de vigilancia RAM y muchas otras. Hay otras herramientas disponibles para evaluar estas áreas.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s-ES" sz="1100">
              <a:solidFill>
                <a:schemeClr val="dk1"/>
              </a:solidFill>
              <a:effectLst/>
              <a:latin typeface="+mn-lt"/>
              <a:ea typeface="+mn-ea"/>
              <a:cs typeface="+mn-cs"/>
            </a:rPr>
            <a:t>Esta herramienta LAARC se basa en los tipos de muestra RAM, los agentes patógenos y antibióticos prioritarios incluidos en la iniciativa de la OMS del 2015 del Sistema Mundial de Vigilancia de la Resistencia a los Antimicrobianos (GLASS). Estos son:</a:t>
          </a:r>
          <a:endParaRPr lang="en-U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fr-BE" sz="1100">
              <a:solidFill>
                <a:schemeClr val="dk1"/>
              </a:solidFill>
              <a:effectLst/>
              <a:latin typeface="+mn-lt"/>
              <a:ea typeface="+mn-ea"/>
              <a:cs typeface="+mn-cs"/>
            </a:rPr>
            <a:t>•	</a:t>
          </a:r>
          <a:r>
            <a:rPr lang="fr-BE" sz="1100" i="1">
              <a:solidFill>
                <a:schemeClr val="dk1"/>
              </a:solidFill>
              <a:effectLst/>
              <a:latin typeface="+mn-lt"/>
              <a:ea typeface="+mn-ea"/>
              <a:cs typeface="+mn-cs"/>
            </a:rPr>
            <a:t>Staphylococcus aureus 		</a:t>
          </a:r>
          <a:r>
            <a:rPr lang="fr-BE" sz="1100">
              <a:solidFill>
                <a:schemeClr val="dk1"/>
              </a:solidFill>
              <a:effectLst/>
              <a:latin typeface="+mn-lt"/>
              <a:ea typeface="+mn-ea"/>
              <a:cs typeface="+mn-cs"/>
            </a:rPr>
            <a:t>Sangre</a:t>
          </a:r>
          <a:endParaRPr lang="en-US" sz="1100">
            <a:solidFill>
              <a:schemeClr val="dk1"/>
            </a:solidFill>
            <a:effectLst/>
            <a:latin typeface="+mn-lt"/>
            <a:ea typeface="+mn-ea"/>
            <a:cs typeface="+mn-cs"/>
          </a:endParaRPr>
        </a:p>
        <a:p>
          <a:r>
            <a:rPr lang="fr-BE" sz="1100">
              <a:solidFill>
                <a:schemeClr val="dk1"/>
              </a:solidFill>
              <a:effectLst/>
              <a:latin typeface="+mn-lt"/>
              <a:ea typeface="+mn-ea"/>
              <a:cs typeface="+mn-cs"/>
            </a:rPr>
            <a:t>•	</a:t>
          </a:r>
          <a:r>
            <a:rPr lang="fr-BE" sz="1100" i="1">
              <a:solidFill>
                <a:schemeClr val="dk1"/>
              </a:solidFill>
              <a:effectLst/>
              <a:latin typeface="+mn-lt"/>
              <a:ea typeface="+mn-ea"/>
              <a:cs typeface="+mn-cs"/>
            </a:rPr>
            <a:t>Streptococcus pneumoniae		</a:t>
          </a:r>
          <a:r>
            <a:rPr lang="fr-BE" sz="1100">
              <a:solidFill>
                <a:schemeClr val="dk1"/>
              </a:solidFill>
              <a:effectLst/>
              <a:latin typeface="+mn-lt"/>
              <a:ea typeface="+mn-ea"/>
              <a:cs typeface="+mn-cs"/>
            </a:rPr>
            <a:t>Sangre</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Escherichia coli 			</a:t>
          </a:r>
          <a:r>
            <a:rPr lang="es-ES" sz="1100">
              <a:solidFill>
                <a:schemeClr val="dk1"/>
              </a:solidFill>
              <a:effectLst/>
              <a:latin typeface="+mn-lt"/>
              <a:ea typeface="+mn-ea"/>
              <a:cs typeface="+mn-cs"/>
            </a:rPr>
            <a:t>Sangre y Orina</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Klebsiella pneumoniae 		</a:t>
          </a:r>
          <a:r>
            <a:rPr lang="es-ES" sz="1100">
              <a:solidFill>
                <a:schemeClr val="dk1"/>
              </a:solidFill>
              <a:effectLst/>
              <a:latin typeface="+mn-lt"/>
              <a:ea typeface="+mn-ea"/>
              <a:cs typeface="+mn-cs"/>
            </a:rPr>
            <a:t>Sangre y Orina</a:t>
          </a:r>
          <a:endParaRPr lang="en-US" sz="1100">
            <a:solidFill>
              <a:schemeClr val="dk1"/>
            </a:solidFill>
            <a:effectLst/>
            <a:latin typeface="+mn-lt"/>
            <a:ea typeface="+mn-ea"/>
            <a:cs typeface="+mn-cs"/>
          </a:endParaRPr>
        </a:p>
        <a:p>
          <a:r>
            <a:rPr lang="es-ES" sz="1100" i="1">
              <a:solidFill>
                <a:schemeClr val="dk1"/>
              </a:solidFill>
              <a:effectLst/>
              <a:latin typeface="+mn-lt"/>
              <a:ea typeface="+mn-ea"/>
              <a:cs typeface="+mn-cs"/>
            </a:rPr>
            <a:t>•	Salmonella species		</a:t>
          </a:r>
          <a:r>
            <a:rPr lang="es-ES" sz="1100">
              <a:solidFill>
                <a:schemeClr val="dk1"/>
              </a:solidFill>
              <a:effectLst/>
              <a:latin typeface="+mn-lt"/>
              <a:ea typeface="+mn-ea"/>
              <a:cs typeface="+mn-cs"/>
            </a:rPr>
            <a:t>Heces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Shigella species 			</a:t>
          </a:r>
          <a:r>
            <a:rPr lang="en-US" sz="1100">
              <a:solidFill>
                <a:schemeClr val="dk1"/>
              </a:solidFill>
              <a:effectLst/>
              <a:latin typeface="+mn-lt"/>
              <a:ea typeface="+mn-ea"/>
              <a:cs typeface="+mn-cs"/>
            </a:rPr>
            <a:t>Heces</a:t>
          </a:r>
        </a:p>
        <a:p>
          <a:r>
            <a:rPr lang="en-US" sz="1100" i="1">
              <a:solidFill>
                <a:schemeClr val="dk1"/>
              </a:solidFill>
              <a:effectLst/>
              <a:latin typeface="+mn-lt"/>
              <a:ea typeface="+mn-ea"/>
              <a:cs typeface="+mn-cs"/>
            </a:rPr>
            <a:t>•	Acinetobacter baumannii*		</a:t>
          </a:r>
          <a:r>
            <a:rPr lang="en-US" sz="1100">
              <a:solidFill>
                <a:schemeClr val="dk1"/>
              </a:solidFill>
              <a:effectLst/>
              <a:latin typeface="+mn-lt"/>
              <a:ea typeface="+mn-ea"/>
              <a:cs typeface="+mn-cs"/>
            </a:rPr>
            <a:t>Sangre</a:t>
          </a:r>
        </a:p>
        <a:p>
          <a:r>
            <a:rPr lang="en-US" sz="1100" i="1">
              <a:solidFill>
                <a:schemeClr val="dk1"/>
              </a:solidFill>
              <a:effectLst/>
              <a:latin typeface="+mn-lt"/>
              <a:ea typeface="+mn-ea"/>
              <a:cs typeface="+mn-cs"/>
            </a:rPr>
            <a:t>•	Neisseria gonorrhoeae**		</a:t>
          </a:r>
          <a:r>
            <a:rPr lang="en-US" sz="1100">
              <a:solidFill>
                <a:schemeClr val="dk1"/>
              </a:solidFill>
              <a:effectLst/>
              <a:latin typeface="+mn-lt"/>
              <a:ea typeface="+mn-ea"/>
              <a:cs typeface="+mn-cs"/>
            </a:rPr>
            <a:t>Frotis uretral y cervical </a:t>
          </a:r>
        </a:p>
        <a:p>
          <a:r>
            <a:rPr lang="en-US" sz="1100">
              <a:solidFill>
                <a:schemeClr val="dk1"/>
              </a:solidFill>
              <a:effectLst/>
              <a:latin typeface="+mn-lt"/>
              <a:ea typeface="+mn-ea"/>
              <a:cs typeface="+mn-cs"/>
            </a:rPr>
            <a:t> </a:t>
          </a:r>
        </a:p>
        <a:p>
          <a:r>
            <a:rPr lang="es-ES" sz="1100">
              <a:solidFill>
                <a:schemeClr val="dk1"/>
              </a:solidFill>
              <a:effectLst/>
              <a:latin typeface="+mn-lt"/>
              <a:ea typeface="+mn-ea"/>
              <a:cs typeface="+mn-cs"/>
            </a:rPr>
            <a:t>Se podrán evaluar tipos de cultivo, patógenos y antibióticos adicionales de acuerdo con las prioridades nacionales; sin embargo, la iteración actual de esta herramienta se centra solo en lo anterior; los usuarios no pueden editar o modificar la herramienta.</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s-ES"/>
          </a:br>
          <a:br>
            <a:rPr lang="es-ES"/>
          </a:br>
          <a:r>
            <a:rPr lang="es-ES" sz="900">
              <a:solidFill>
                <a:schemeClr val="dk1"/>
              </a:solidFill>
              <a:effectLst/>
              <a:latin typeface="+mn-lt"/>
              <a:ea typeface="+mn-ea"/>
              <a:cs typeface="+mn-cs"/>
            </a:rPr>
            <a:t>* La mayoría de los laboratorios no pueden diferenciar definitivamente </a:t>
          </a:r>
          <a:r>
            <a:rPr lang="es-ES" sz="900" i="1">
              <a:solidFill>
                <a:schemeClr val="dk1"/>
              </a:solidFill>
              <a:effectLst/>
              <a:latin typeface="+mn-lt"/>
              <a:ea typeface="+mn-ea"/>
              <a:cs typeface="+mn-cs"/>
            </a:rPr>
            <a:t>Acinetobacter calcoaceticus </a:t>
          </a:r>
          <a:r>
            <a:rPr lang="es-ES" sz="900">
              <a:solidFill>
                <a:schemeClr val="dk1"/>
              </a:solidFill>
              <a:effectLst/>
              <a:latin typeface="+mn-lt"/>
              <a:ea typeface="+mn-ea"/>
              <a:cs typeface="+mn-cs"/>
            </a:rPr>
            <a:t>de </a:t>
          </a:r>
          <a:r>
            <a:rPr lang="es-ES" sz="900" i="1">
              <a:solidFill>
                <a:schemeClr val="dk1"/>
              </a:solidFill>
              <a:effectLst/>
              <a:latin typeface="+mn-lt"/>
              <a:ea typeface="+mn-ea"/>
              <a:cs typeface="+mn-cs"/>
            </a:rPr>
            <a:t>A. baumannii</a:t>
          </a:r>
          <a:r>
            <a:rPr lang="es-ES" sz="900">
              <a:solidFill>
                <a:schemeClr val="dk1"/>
              </a:solidFill>
              <a:effectLst/>
              <a:latin typeface="+mn-lt"/>
              <a:ea typeface="+mn-ea"/>
              <a:cs typeface="+mn-cs"/>
            </a:rPr>
            <a:t>, por lo que en la práctica esto se refiere</a:t>
          </a:r>
          <a:r>
            <a:rPr lang="es-ES" sz="900" baseline="0">
              <a:solidFill>
                <a:schemeClr val="dk1"/>
              </a:solidFill>
              <a:effectLst/>
              <a:latin typeface="+mn-lt"/>
              <a:ea typeface="+mn-ea"/>
              <a:cs typeface="+mn-cs"/>
            </a:rPr>
            <a:t> al</a:t>
          </a:r>
          <a:r>
            <a:rPr lang="es-ES" sz="900">
              <a:solidFill>
                <a:schemeClr val="dk1"/>
              </a:solidFill>
              <a:effectLst/>
              <a:latin typeface="+mn-lt"/>
              <a:ea typeface="+mn-ea"/>
              <a:cs typeface="+mn-cs"/>
            </a:rPr>
            <a:t> complejo </a:t>
          </a:r>
          <a:r>
            <a:rPr lang="es-ES" sz="900" i="1">
              <a:solidFill>
                <a:schemeClr val="dk1"/>
              </a:solidFill>
              <a:effectLst/>
              <a:latin typeface="+mn-lt"/>
              <a:ea typeface="+mn-ea"/>
              <a:cs typeface="+mn-cs"/>
            </a:rPr>
            <a:t>Acinetobacter calcoaceticus-baumannii</a:t>
          </a:r>
          <a:br>
            <a:rPr lang="es-ES" sz="900">
              <a:solidFill>
                <a:schemeClr val="dk1"/>
              </a:solidFill>
              <a:effectLst/>
              <a:latin typeface="+mn-lt"/>
              <a:ea typeface="+mn-ea"/>
              <a:cs typeface="+mn-cs"/>
            </a:rPr>
          </a:br>
          <a:r>
            <a:rPr lang="es-ES" sz="900">
              <a:solidFill>
                <a:schemeClr val="dk1"/>
              </a:solidFill>
              <a:effectLst/>
              <a:latin typeface="+mn-lt"/>
              <a:ea typeface="+mn-ea"/>
              <a:cs typeface="+mn-cs"/>
            </a:rPr>
            <a:t>** </a:t>
          </a:r>
          <a:r>
            <a:rPr lang="es-ES" sz="900" i="1">
              <a:solidFill>
                <a:schemeClr val="dk1"/>
              </a:solidFill>
              <a:effectLst/>
              <a:latin typeface="+mn-lt"/>
              <a:ea typeface="+mn-ea"/>
              <a:cs typeface="+mn-cs"/>
            </a:rPr>
            <a:t>N. gonorrhoeae</a:t>
          </a:r>
          <a:r>
            <a:rPr lang="es-ES" sz="900">
              <a:solidFill>
                <a:schemeClr val="dk1"/>
              </a:solidFill>
              <a:effectLst/>
              <a:latin typeface="+mn-lt"/>
              <a:ea typeface="+mn-ea"/>
              <a:cs typeface="+mn-cs"/>
            </a:rPr>
            <a:t> fue excluido de esta herramienta debido a las complejidades de</a:t>
          </a:r>
          <a:r>
            <a:rPr lang="es-ES" sz="900" baseline="0">
              <a:solidFill>
                <a:schemeClr val="dk1"/>
              </a:solidFill>
              <a:effectLst/>
              <a:latin typeface="+mn-lt"/>
              <a:ea typeface="+mn-ea"/>
              <a:cs typeface="+mn-cs"/>
            </a:rPr>
            <a:t> su </a:t>
          </a:r>
          <a:r>
            <a:rPr lang="es-ES" sz="900">
              <a:solidFill>
                <a:schemeClr val="dk1"/>
              </a:solidFill>
              <a:effectLst/>
              <a:latin typeface="+mn-lt"/>
              <a:ea typeface="+mn-ea"/>
              <a:cs typeface="+mn-cs"/>
            </a:rPr>
            <a:t>cultivo de rutina y recuperación, su identificación y PSA, y la existencia de otras redes de vigilancia y clínicas de ETS dedicadas exclusivamente a este patógeno.</a:t>
          </a:r>
          <a:r>
            <a:rPr lang="en-US" sz="1100"/>
            <a:t> </a:t>
          </a:r>
        </a:p>
        <a:p>
          <a:endParaRPr lang="en-US" sz="1100"/>
        </a:p>
        <a:p>
          <a:endParaRPr lang="en-US" sz="1100"/>
        </a:p>
      </xdr:txBody>
    </xdr:sp>
    <xdr:clientData/>
  </xdr:twoCellAnchor>
  <xdr:twoCellAnchor>
    <xdr:from>
      <xdr:col>0</xdr:col>
      <xdr:colOff>0</xdr:colOff>
      <xdr:row>39</xdr:row>
      <xdr:rowOff>0</xdr:rowOff>
    </xdr:from>
    <xdr:to>
      <xdr:col>5</xdr:col>
      <xdr:colOff>778932</xdr:colOff>
      <xdr:row>78</xdr:row>
      <xdr:rowOff>160687</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0" y="10865556"/>
          <a:ext cx="7552265" cy="7865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solidFill>
            </a:rPr>
            <a:t>INTRODUCTION - FRANÇAIS</a:t>
          </a:r>
        </a:p>
        <a:p>
          <a:endParaRPr lang="en-US" sz="1100"/>
        </a:p>
        <a:p>
          <a:r>
            <a:rPr lang="fr-FR" sz="1100">
              <a:solidFill>
                <a:schemeClr val="dk1"/>
              </a:solidFill>
              <a:effectLst/>
              <a:latin typeface="+mn-lt"/>
              <a:ea typeface="+mn-ea"/>
              <a:cs typeface="+mn-cs"/>
            </a:rPr>
            <a:t>Le contrôle de la résistance aux antibiotiques (RA) est une priorité mondiale de santé publique. Des réseaux de laboratoires de RA robustes sont essentiels pour nourrir les politiques et processus de contrôle. Ces réseaux obtiennent souvent des données de RA provenant des laboratoires cliniques; ainsi, l'utilité des données agrégées dépend en grande partie de la capacité des laboratoires à produire des résultats précis et fiables d'identification bactérienne (ID) et de tests de sensibilité aux antibiotiques (TSA ou antibiogramme).</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De nombreux outils d'évaluation de laboratoire existants sont conçus pour évaluer les exigences essentielles du système de management de la qualité (SMQ) décrites par les organisations internationales de normalisation des laboratoires telles que l'ISO et le CLSI. Ces outils sont inadéquats pour détecter les lacunes dans les tests au niveau de la paillasse car ils manquent de profondeur technique et de détails suffisants. L'outil d'évaluation LAARC est conçu pour combler cette lacune technique et est spécifiquement adapté aux laboratoires des pays à revenu faible ou intermédiaire qui n'ont pas encore établi de réglementations de laboratoire et / ou d'exigences d'accréditation complètes. L'outil contient de nombreuses questions sur le contrôle de la qualité (CQ) et l'assurance de la qualité (AQ), mais il est principalement de nature technique et ne fournit pas une évaluation complète du SMQ.</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Le but du LAARC est d'évaluer objectivement les compétences techniques bactériologiques et les processus qualité associés nécessaires pour une détection précise et fiable de la RA. Les résultats permettent de développer une feuille de route d'amélioration. Le LAARC a été conçu pour être utilisé dans les laboratoires hospitaliers qui reçoivent et traitent des échantillons cliniques à des fins de soins de routine aux patients. Les laboratoires nationaux de référence (LNR) et autres laboratoires de santé publique bénéficieront de cette évaluation technique, mais les principales lacunes dans l'évaluation des capacités des LNR sont liées au manque de questions sur les tests moléculaires, le financement et le budget des activités et le personnel non-technique requis pour administrer un programme de surveillance de la RAM, ainsi que d’autres composants. D'autres outils sont disponibles pour évaluer ces domaines.</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Le LAARC a été construit autour des types d'échantillons RA prioritaires pour l'OMS, des agents pathogènes et des antibiotiques inclus dans l’initiative GLASS (Global Antimicrobial Resistance Surveillance System) de 2015. Ce sont:</a:t>
          </a:r>
          <a:br>
            <a:rPr lang="fr-FR" sz="1100">
              <a:solidFill>
                <a:schemeClr val="dk1"/>
              </a:solidFill>
              <a:effectLst/>
              <a:latin typeface="+mn-lt"/>
              <a:ea typeface="+mn-ea"/>
              <a:cs typeface="+mn-cs"/>
            </a:rPr>
          </a:br>
          <a:br>
            <a:rPr lang="fr-FR" sz="1100">
              <a:solidFill>
                <a:schemeClr val="dk1"/>
              </a:solidFill>
              <a:effectLst/>
              <a:latin typeface="+mn-lt"/>
              <a:ea typeface="+mn-ea"/>
              <a:cs typeface="+mn-cs"/>
            </a:rPr>
          </a:br>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Staphylococcus aureus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Streptococcus pneumoniae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Escherichia coli 		</a:t>
          </a:r>
          <a:r>
            <a:rPr lang="fr-FR" sz="1100">
              <a:solidFill>
                <a:schemeClr val="dk1"/>
              </a:solidFill>
              <a:effectLst/>
              <a:latin typeface="+mn-lt"/>
              <a:ea typeface="+mn-ea"/>
              <a:cs typeface="+mn-cs"/>
            </a:rPr>
            <a:t>Sang &amp; Urine</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Klebsiella pneumoniae 	</a:t>
          </a:r>
          <a:r>
            <a:rPr lang="fr-FR" sz="1100">
              <a:solidFill>
                <a:schemeClr val="dk1"/>
              </a:solidFill>
              <a:effectLst/>
              <a:latin typeface="+mn-lt"/>
              <a:ea typeface="+mn-ea"/>
              <a:cs typeface="+mn-cs"/>
            </a:rPr>
            <a:t>Sang &amp; Urine</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Salmonella species	</a:t>
          </a:r>
          <a:r>
            <a:rPr lang="fr-FR" sz="1100">
              <a:solidFill>
                <a:schemeClr val="dk1"/>
              </a:solidFill>
              <a:effectLst/>
              <a:latin typeface="+mn-lt"/>
              <a:ea typeface="+mn-ea"/>
              <a:cs typeface="+mn-cs"/>
            </a:rPr>
            <a:t>Selles</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Shigella species 		</a:t>
          </a:r>
          <a:r>
            <a:rPr lang="fr-FR" sz="1100">
              <a:solidFill>
                <a:schemeClr val="dk1"/>
              </a:solidFill>
              <a:effectLst/>
              <a:latin typeface="+mn-lt"/>
              <a:ea typeface="+mn-ea"/>
              <a:cs typeface="+mn-cs"/>
            </a:rPr>
            <a:t>Selles</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Acinetobacter baumannii*	</a:t>
          </a:r>
          <a:r>
            <a:rPr lang="fr-FR" sz="1100">
              <a:solidFill>
                <a:schemeClr val="dk1"/>
              </a:solidFill>
              <a:effectLst/>
              <a:latin typeface="+mn-lt"/>
              <a:ea typeface="+mn-ea"/>
              <a:cs typeface="+mn-cs"/>
            </a:rPr>
            <a:t>Sang</a:t>
          </a:r>
          <a:endParaRPr lang="en-US" sz="1100">
            <a:solidFill>
              <a:schemeClr val="dk1"/>
            </a:solidFill>
            <a:effectLst/>
            <a:latin typeface="+mn-lt"/>
            <a:ea typeface="+mn-ea"/>
            <a:cs typeface="+mn-cs"/>
          </a:endParaRPr>
        </a:p>
        <a:p>
          <a:r>
            <a:rPr lang="fr-FR" sz="1100" i="1">
              <a:solidFill>
                <a:schemeClr val="dk1"/>
              </a:solidFill>
              <a:effectLst/>
              <a:latin typeface="+mn-lt"/>
              <a:ea typeface="+mn-ea"/>
              <a:cs typeface="+mn-cs"/>
            </a:rPr>
            <a:t>•	Neisseria gonorrhoeae**	</a:t>
          </a:r>
          <a:r>
            <a:rPr lang="fr-FR" sz="1100">
              <a:solidFill>
                <a:schemeClr val="dk1"/>
              </a:solidFill>
              <a:effectLst/>
              <a:latin typeface="+mn-lt"/>
              <a:ea typeface="+mn-ea"/>
              <a:cs typeface="+mn-cs"/>
            </a:rPr>
            <a:t>Écouvillons urétraux &amp; cervicaux</a:t>
          </a:r>
          <a:endParaRPr lang="en-US" sz="1100">
            <a:solidFill>
              <a:schemeClr val="dk1"/>
            </a:solidFill>
            <a:effectLst/>
            <a:latin typeface="+mn-lt"/>
            <a:ea typeface="+mn-ea"/>
            <a:cs typeface="+mn-cs"/>
          </a:endParaRPr>
        </a:p>
        <a:p>
          <a:br>
            <a:rPr lang="fr-FR" sz="1100">
              <a:solidFill>
                <a:schemeClr val="dk1"/>
              </a:solidFill>
              <a:effectLst/>
              <a:latin typeface="+mn-lt"/>
              <a:ea typeface="+mn-ea"/>
              <a:cs typeface="+mn-cs"/>
            </a:rPr>
          </a:br>
          <a:r>
            <a:rPr lang="fr-FR" sz="1100">
              <a:solidFill>
                <a:schemeClr val="dk1"/>
              </a:solidFill>
              <a:effectLst/>
              <a:latin typeface="+mn-lt"/>
              <a:ea typeface="+mn-ea"/>
              <a:cs typeface="+mn-cs"/>
            </a:rPr>
            <a:t>D'autres types de cultures, agents pathogènes et antibiotiques peuvent être évalués conformément aux priorités nationales; cependant, l'itération actuelle de cet outil se concentre uniquement sur ce qui précède; les utilisateurs ne peuvent pas éditer ou modifier l'outil.</a:t>
          </a:r>
          <a:br>
            <a:rPr lang="fr-FR"/>
          </a:br>
          <a:br>
            <a:rPr lang="fr-FR"/>
          </a:br>
          <a:r>
            <a:rPr lang="fr-FR" sz="900"/>
            <a:t>* La plupart des laboratoires ne sont pas en mesure de différencier définitivement </a:t>
          </a:r>
          <a:r>
            <a:rPr lang="fr-FR" sz="900" i="1"/>
            <a:t>Acinetobacter calcoaceticus </a:t>
          </a:r>
          <a:r>
            <a:rPr lang="fr-FR" sz="900"/>
            <a:t>de </a:t>
          </a:r>
          <a:r>
            <a:rPr lang="fr-FR" sz="900" i="1"/>
            <a:t>A. baumannii</a:t>
          </a:r>
          <a:r>
            <a:rPr lang="fr-FR" sz="900"/>
            <a:t>. Il s'agit donc en pratique du complexe </a:t>
          </a:r>
          <a:r>
            <a:rPr lang="fr-FR" sz="900" i="1"/>
            <a:t>Acinetobacter calcoaceticus-baumannii</a:t>
          </a:r>
          <a:br>
            <a:rPr lang="fr-FR" sz="900"/>
          </a:br>
          <a:r>
            <a:rPr lang="fr-FR" sz="900"/>
            <a:t>** </a:t>
          </a:r>
          <a:r>
            <a:rPr lang="fr-FR" sz="900" i="1"/>
            <a:t>N. gonorrhoeae </a:t>
          </a:r>
          <a:r>
            <a:rPr lang="fr-FR" sz="900"/>
            <a:t>a été exclu de cet outil en raison des complexités inhérentes à la culture et au rétablissement en routine, à l'identification et au</a:t>
          </a:r>
          <a:r>
            <a:rPr lang="fr-FR" sz="900" baseline="0"/>
            <a:t> </a:t>
          </a:r>
          <a:r>
            <a:rPr lang="fr-FR" sz="900"/>
            <a:t>TSA, ainsi qu'à l'existence d'autres réseaux de surveillance et de cliniques de traitement des MST exclusivement consacrés à cet agent pathogène.</a:t>
          </a:r>
          <a:endParaRPr lang="en-US" sz="105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54608</xdr:colOff>
      <xdr:row>0</xdr:row>
      <xdr:rowOff>180975</xdr:rowOff>
    </xdr:from>
    <xdr:to>
      <xdr:col>15</xdr:col>
      <xdr:colOff>654055</xdr:colOff>
      <xdr:row>32</xdr:row>
      <xdr:rowOff>171450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455158" y="180975"/>
          <a:ext cx="5571497" cy="6391275"/>
        </a:xfrm>
        <a:prstGeom prst="rect">
          <a:avLst/>
        </a:prstGeom>
      </xdr:spPr>
    </xdr:pic>
    <xdr:clientData/>
  </xdr:twoCellAnchor>
  <xdr:twoCellAnchor editAs="oneCell">
    <xdr:from>
      <xdr:col>0</xdr:col>
      <xdr:colOff>57150</xdr:colOff>
      <xdr:row>2</xdr:row>
      <xdr:rowOff>160654</xdr:rowOff>
    </xdr:from>
    <xdr:to>
      <xdr:col>6</xdr:col>
      <xdr:colOff>171450</xdr:colOff>
      <xdr:row>16</xdr:row>
      <xdr:rowOff>19050</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560704"/>
          <a:ext cx="3790950" cy="2658746"/>
        </a:xfrm>
        <a:prstGeom prst="rect">
          <a:avLst/>
        </a:prstGeom>
      </xdr:spPr>
    </xdr:pic>
    <xdr:clientData/>
  </xdr:twoCellAnchor>
  <xdr:twoCellAnchor editAs="oneCell">
    <xdr:from>
      <xdr:col>7</xdr:col>
      <xdr:colOff>483870</xdr:colOff>
      <xdr:row>0</xdr:row>
      <xdr:rowOff>170179</xdr:rowOff>
    </xdr:from>
    <xdr:to>
      <xdr:col>14</xdr:col>
      <xdr:colOff>430489</xdr:colOff>
      <xdr:row>2</xdr:row>
      <xdr:rowOff>1904</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4804410" y="170179"/>
          <a:ext cx="4183339" cy="2203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184</xdr:row>
      <xdr:rowOff>0</xdr:rowOff>
    </xdr:from>
    <xdr:to>
      <xdr:col>1</xdr:col>
      <xdr:colOff>304800</xdr:colOff>
      <xdr:row>185</xdr:row>
      <xdr:rowOff>102870</xdr:rowOff>
    </xdr:to>
    <xdr:sp macro="" textlink="">
      <xdr:nvSpPr>
        <xdr:cNvPr id="2" name="AutoShape 3" descr="Image result for red flag">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81000" y="511968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174</xdr:row>
      <xdr:rowOff>0</xdr:rowOff>
    </xdr:from>
    <xdr:to>
      <xdr:col>1</xdr:col>
      <xdr:colOff>304800</xdr:colOff>
      <xdr:row>175</xdr:row>
      <xdr:rowOff>102870</xdr:rowOff>
    </xdr:to>
    <xdr:sp macro="" textlink="">
      <xdr:nvSpPr>
        <xdr:cNvPr id="3" name="AutoShape 4" descr="Image result for red flag">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381000" y="487965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1</xdr:col>
      <xdr:colOff>304800</xdr:colOff>
      <xdr:row>91</xdr:row>
      <xdr:rowOff>97792</xdr:rowOff>
    </xdr:to>
    <xdr:sp macro="" textlink="">
      <xdr:nvSpPr>
        <xdr:cNvPr id="2" name="AutoShape 3" descr="Image result for red flag">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381000" y="32232600"/>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80</xdr:row>
      <xdr:rowOff>0</xdr:rowOff>
    </xdr:from>
    <xdr:to>
      <xdr:col>1</xdr:col>
      <xdr:colOff>304800</xdr:colOff>
      <xdr:row>81</xdr:row>
      <xdr:rowOff>97791</xdr:rowOff>
    </xdr:to>
    <xdr:sp macro="" textlink="">
      <xdr:nvSpPr>
        <xdr:cNvPr id="3" name="AutoShape 4" descr="Image result for red flag">
          <a:extLst>
            <a:ext uri="{FF2B5EF4-FFF2-40B4-BE49-F238E27FC236}">
              <a16:creationId xmlns:a16="http://schemas.microsoft.com/office/drawing/2014/main" id="{00000000-0008-0000-0700-000003000000}"/>
            </a:ext>
          </a:extLst>
        </xdr:cNvPr>
        <xdr:cNvSpPr>
          <a:spLocks noChangeAspect="1" noChangeArrowheads="1"/>
        </xdr:cNvSpPr>
      </xdr:nvSpPr>
      <xdr:spPr bwMode="auto">
        <a:xfrm>
          <a:off x="381000" y="298323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89</xdr:row>
      <xdr:rowOff>0</xdr:rowOff>
    </xdr:from>
    <xdr:to>
      <xdr:col>1</xdr:col>
      <xdr:colOff>304800</xdr:colOff>
      <xdr:row>90</xdr:row>
      <xdr:rowOff>92074</xdr:rowOff>
    </xdr:to>
    <xdr:sp macro="" textlink="">
      <xdr:nvSpPr>
        <xdr:cNvPr id="3" name="AutoShape 4" descr="Image result for red flag">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381000" y="281559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28575</xdr:colOff>
      <xdr:row>92</xdr:row>
      <xdr:rowOff>19050</xdr:rowOff>
    </xdr:from>
    <xdr:to>
      <xdr:col>7</xdr:col>
      <xdr:colOff>1003935</xdr:colOff>
      <xdr:row>96</xdr:row>
      <xdr:rowOff>190499</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62</xdr:row>
      <xdr:rowOff>9525</xdr:rowOff>
    </xdr:from>
    <xdr:to>
      <xdr:col>7</xdr:col>
      <xdr:colOff>1000126</xdr:colOff>
      <xdr:row>74</xdr:row>
      <xdr:rowOff>9524</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129</xdr:row>
      <xdr:rowOff>190501</xdr:rowOff>
    </xdr:from>
    <xdr:to>
      <xdr:col>7</xdr:col>
      <xdr:colOff>1005840</xdr:colOff>
      <xdr:row>135</xdr:row>
      <xdr:rowOff>1</xdr:rowOff>
    </xdr:to>
    <xdr:graphicFrame macro="">
      <xdr:nvGraphicFramePr>
        <xdr:cNvPr id="6" name="Chart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98</xdr:row>
      <xdr:rowOff>9621</xdr:rowOff>
    </xdr:from>
    <xdr:to>
      <xdr:col>7</xdr:col>
      <xdr:colOff>1005839</xdr:colOff>
      <xdr:row>104</xdr:row>
      <xdr:rowOff>190500</xdr:rowOff>
    </xdr:to>
    <xdr:graphicFrame macro="">
      <xdr:nvGraphicFramePr>
        <xdr:cNvPr id="5" name="Chart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38100</xdr:colOff>
      <xdr:row>136</xdr:row>
      <xdr:rowOff>0</xdr:rowOff>
    </xdr:from>
    <xdr:to>
      <xdr:col>7</xdr:col>
      <xdr:colOff>1003936</xdr:colOff>
      <xdr:row>151</xdr:row>
      <xdr:rowOff>190500</xdr:rowOff>
    </xdr:to>
    <xdr:graphicFrame macro="">
      <xdr:nvGraphicFramePr>
        <xdr:cNvPr id="7" name="Chart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47625</xdr:colOff>
      <xdr:row>153</xdr:row>
      <xdr:rowOff>1</xdr:rowOff>
    </xdr:from>
    <xdr:to>
      <xdr:col>7</xdr:col>
      <xdr:colOff>1000125</xdr:colOff>
      <xdr:row>160</xdr:row>
      <xdr:rowOff>0</xdr:rowOff>
    </xdr:to>
    <xdr:graphicFrame macro="">
      <xdr:nvGraphicFramePr>
        <xdr:cNvPr id="8" name="Chart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38100</xdr:colOff>
      <xdr:row>161</xdr:row>
      <xdr:rowOff>9525</xdr:rowOff>
    </xdr:from>
    <xdr:to>
      <xdr:col>7</xdr:col>
      <xdr:colOff>1003935</xdr:colOff>
      <xdr:row>172</xdr:row>
      <xdr:rowOff>9525</xdr:rowOff>
    </xdr:to>
    <xdr:graphicFrame macro="">
      <xdr:nvGraphicFramePr>
        <xdr:cNvPr id="9" name="Chart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38100</xdr:colOff>
      <xdr:row>173</xdr:row>
      <xdr:rowOff>9526</xdr:rowOff>
    </xdr:from>
    <xdr:to>
      <xdr:col>7</xdr:col>
      <xdr:colOff>1003935</xdr:colOff>
      <xdr:row>177</xdr:row>
      <xdr:rowOff>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38100</xdr:colOff>
      <xdr:row>177</xdr:row>
      <xdr:rowOff>190499</xdr:rowOff>
    </xdr:from>
    <xdr:to>
      <xdr:col>7</xdr:col>
      <xdr:colOff>1005840</xdr:colOff>
      <xdr:row>182</xdr:row>
      <xdr:rowOff>190499</xdr:rowOff>
    </xdr:to>
    <xdr:graphicFrame macro="">
      <xdr:nvGraphicFramePr>
        <xdr:cNvPr id="12" name="Chart 11">
          <a:extLst>
            <a:ext uri="{FF2B5EF4-FFF2-40B4-BE49-F238E27FC236}">
              <a16:creationId xmlns:a16="http://schemas.microsoft.com/office/drawing/2014/main" id="{00000000-0008-0000-1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38101</xdr:colOff>
      <xdr:row>106</xdr:row>
      <xdr:rowOff>9526</xdr:rowOff>
    </xdr:from>
    <xdr:to>
      <xdr:col>7</xdr:col>
      <xdr:colOff>1005842</xdr:colOff>
      <xdr:row>115</xdr:row>
      <xdr:rowOff>1</xdr:rowOff>
    </xdr:to>
    <xdr:graphicFrame macro="">
      <xdr:nvGraphicFramePr>
        <xdr:cNvPr id="14" name="Chart 13">
          <a:extLst>
            <a:ext uri="{FF2B5EF4-FFF2-40B4-BE49-F238E27FC236}">
              <a16:creationId xmlns:a16="http://schemas.microsoft.com/office/drawing/2014/main" id="{00000000-0008-0000-1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38101</xdr:colOff>
      <xdr:row>115</xdr:row>
      <xdr:rowOff>200024</xdr:rowOff>
    </xdr:from>
    <xdr:to>
      <xdr:col>7</xdr:col>
      <xdr:colOff>1002032</xdr:colOff>
      <xdr:row>122</xdr:row>
      <xdr:rowOff>0</xdr:rowOff>
    </xdr:to>
    <xdr:graphicFrame macro="">
      <xdr:nvGraphicFramePr>
        <xdr:cNvPr id="15" name="Chart 14">
          <a:extLst>
            <a:ext uri="{FF2B5EF4-FFF2-40B4-BE49-F238E27FC236}">
              <a16:creationId xmlns:a16="http://schemas.microsoft.com/office/drawing/2014/main" id="{00000000-0008-0000-1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38101</xdr:colOff>
      <xdr:row>123</xdr:row>
      <xdr:rowOff>0</xdr:rowOff>
    </xdr:from>
    <xdr:to>
      <xdr:col>7</xdr:col>
      <xdr:colOff>1005842</xdr:colOff>
      <xdr:row>129</xdr:row>
      <xdr:rowOff>0</xdr:rowOff>
    </xdr:to>
    <xdr:graphicFrame macro="">
      <xdr:nvGraphicFramePr>
        <xdr:cNvPr id="16" name="Chart 15">
          <a:extLst>
            <a:ext uri="{FF2B5EF4-FFF2-40B4-BE49-F238E27FC236}">
              <a16:creationId xmlns:a16="http://schemas.microsoft.com/office/drawing/2014/main" id="{00000000-0008-0000-1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28575</xdr:colOff>
      <xdr:row>75</xdr:row>
      <xdr:rowOff>19050</xdr:rowOff>
    </xdr:from>
    <xdr:to>
      <xdr:col>7</xdr:col>
      <xdr:colOff>1003935</xdr:colOff>
      <xdr:row>82</xdr:row>
      <xdr:rowOff>0</xdr:rowOff>
    </xdr:to>
    <xdr:graphicFrame macro="">
      <xdr:nvGraphicFramePr>
        <xdr:cNvPr id="19" name="Chart 18">
          <a:extLst>
            <a:ext uri="{FF2B5EF4-FFF2-40B4-BE49-F238E27FC236}">
              <a16:creationId xmlns:a16="http://schemas.microsoft.com/office/drawing/2014/main" id="{00000000-0008-0000-1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38100</xdr:colOff>
      <xdr:row>83</xdr:row>
      <xdr:rowOff>1</xdr:rowOff>
    </xdr:from>
    <xdr:to>
      <xdr:col>7</xdr:col>
      <xdr:colOff>1000125</xdr:colOff>
      <xdr:row>91</xdr:row>
      <xdr:rowOff>0</xdr:rowOff>
    </xdr:to>
    <xdr:graphicFrame macro="">
      <xdr:nvGraphicFramePr>
        <xdr:cNvPr id="20" name="Chart 19">
          <a:extLst>
            <a:ext uri="{FF2B5EF4-FFF2-40B4-BE49-F238E27FC236}">
              <a16:creationId xmlns:a16="http://schemas.microsoft.com/office/drawing/2014/main" id="{00000000-0008-0000-1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38100</xdr:colOff>
      <xdr:row>9</xdr:row>
      <xdr:rowOff>47624</xdr:rowOff>
    </xdr:from>
    <xdr:to>
      <xdr:col>7</xdr:col>
      <xdr:colOff>352425</xdr:colOff>
      <xdr:row>26</xdr:row>
      <xdr:rowOff>114300</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47625</xdr:colOff>
      <xdr:row>27</xdr:row>
      <xdr:rowOff>1</xdr:rowOff>
    </xdr:from>
    <xdr:to>
      <xdr:col>7</xdr:col>
      <xdr:colOff>361950</xdr:colOff>
      <xdr:row>34</xdr:row>
      <xdr:rowOff>19050</xdr:rowOff>
    </xdr:to>
    <xdr:graphicFrame macro="">
      <xdr:nvGraphicFramePr>
        <xdr:cNvPr id="11" name="Chart 10">
          <a:extLst>
            <a:ext uri="{FF2B5EF4-FFF2-40B4-BE49-F238E27FC236}">
              <a16:creationId xmlns:a16="http://schemas.microsoft.com/office/drawing/2014/main" id="{00000000-0008-0000-1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31630</xdr:colOff>
      <xdr:row>46</xdr:row>
      <xdr:rowOff>9525</xdr:rowOff>
    </xdr:from>
    <xdr:to>
      <xdr:col>8</xdr:col>
      <xdr:colOff>5715</xdr:colOff>
      <xdr:row>60</xdr:row>
      <xdr:rowOff>190499</xdr:rowOff>
    </xdr:to>
    <xdr:graphicFrame macro="">
      <xdr:nvGraphicFramePr>
        <xdr:cNvPr id="18" name="Chart 17">
          <a:extLst>
            <a:ext uri="{FF2B5EF4-FFF2-40B4-BE49-F238E27FC236}">
              <a16:creationId xmlns:a16="http://schemas.microsoft.com/office/drawing/2014/main" id="{00000000-0008-0000-1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xdr:row>
          <xdr:rowOff>91440</xdr:rowOff>
        </xdr:from>
        <xdr:to>
          <xdr:col>9</xdr:col>
          <xdr:colOff>518160</xdr:colOff>
          <xdr:row>42</xdr:row>
          <xdr:rowOff>76200</xdr:rowOff>
        </xdr:to>
        <xdr:sp macro="" textlink="">
          <xdr:nvSpPr>
            <xdr:cNvPr id="26627" name="Object 3" hidden="1">
              <a:extLst>
                <a:ext uri="{63B3BB69-23CF-44E3-9099-C40C66FF867C}">
                  <a14:compatExt spid="_x0000_s26627"/>
                </a:ext>
                <a:ext uri="{FF2B5EF4-FFF2-40B4-BE49-F238E27FC236}">
                  <a16:creationId xmlns:a16="http://schemas.microsoft.com/office/drawing/2014/main" id="{00000000-0008-0000-1600-000003680000}"/>
                </a:ext>
              </a:extLst>
            </xdr:cNvPr>
            <xdr:cNvSpPr/>
          </xdr:nvSpPr>
          <xdr:spPr bwMode="auto">
            <a:xfrm>
              <a:off x="0" y="0"/>
              <a:ext cx="0" cy="0"/>
            </a:xfrm>
            <a:prstGeom prst="rect">
              <a:avLst/>
            </a:prstGeom>
            <a:solidFill>
              <a:srgbClr val="FFFFFF"/>
            </a:solidFill>
            <a:ln w="12700">
              <a:solidFill>
                <a:srgbClr val="000000"/>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clsi-m100.com/" TargetMode="External"/><Relationship Id="rId1" Type="http://schemas.openxmlformats.org/officeDocument/2006/relationships/hyperlink" Target="http://www.eucast.org/ast_of_bacteria/guidance_document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dc.gov/drugresistance/intl-activities/laarc.html" TargetMode="External"/><Relationship Id="rId3" Type="http://schemas.openxmlformats.org/officeDocument/2006/relationships/hyperlink" Target="https://www.cdc.gov/drugresistance/intl-activities/registration.html" TargetMode="External"/><Relationship Id="rId7" Type="http://schemas.openxmlformats.org/officeDocument/2006/relationships/hyperlink" Target="https://www.cdc.gov/drugresistance/intl-activities/laarc.html" TargetMode="External"/><Relationship Id="rId2" Type="http://schemas.openxmlformats.org/officeDocument/2006/relationships/hyperlink" Target="https://www.cdc.gov/drugresistance/intl-activities/registration.html" TargetMode="External"/><Relationship Id="rId1" Type="http://schemas.openxmlformats.org/officeDocument/2006/relationships/hyperlink" Target="https://www.cdc.gov/drugresistance/intl-activities/registration.html" TargetMode="External"/><Relationship Id="rId6" Type="http://schemas.openxmlformats.org/officeDocument/2006/relationships/hyperlink" Target="https://www.cdc.gov/drugresistance/intl-activities/laarc.html" TargetMode="External"/><Relationship Id="rId5" Type="http://schemas.openxmlformats.org/officeDocument/2006/relationships/hyperlink" Target="https://www.cdc.gov/drugresistance/intl-activities/laarc.html" TargetMode="External"/><Relationship Id="rId4" Type="http://schemas.openxmlformats.org/officeDocument/2006/relationships/hyperlink" Target="https://www.cdc.gov/drugresistance/intl-activities/registration.html" TargetMode="External"/><Relationship Id="rId9"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23.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dc.gov/drugresistance/intl-activities/laarc.html" TargetMode="External"/><Relationship Id="rId2" Type="http://schemas.openxmlformats.org/officeDocument/2006/relationships/hyperlink" Target="https://www.cdc.gov/drugresistance/intl-activities/registration.html" TargetMode="External"/><Relationship Id="rId1" Type="http://schemas.openxmlformats.org/officeDocument/2006/relationships/hyperlink" Target="https://wwwdev.cdc.gov/drugresistance/LAARC/registration.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lac.org/signatory-search/"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22"/>
  <sheetViews>
    <sheetView showGridLines="0" topLeftCell="A4" zoomScale="60" zoomScaleNormal="60" zoomScalePageLayoutView="80" workbookViewId="0">
      <selection activeCell="E27" sqref="E27"/>
    </sheetView>
  </sheetViews>
  <sheetFormatPr defaultColWidth="11" defaultRowHeight="15.6"/>
  <cols>
    <col min="2" max="2" width="4.19921875" customWidth="1"/>
    <col min="10" max="10" width="20.5" bestFit="1" customWidth="1"/>
    <col min="11" max="11" width="2.69921875" bestFit="1" customWidth="1"/>
    <col min="14" max="14" width="13.69921875" bestFit="1" customWidth="1"/>
  </cols>
  <sheetData>
    <row r="1" spans="1:26" s="203" customFormat="1">
      <c r="A1" s="334"/>
      <c r="B1" s="334"/>
      <c r="C1" s="334"/>
      <c r="D1" s="334"/>
      <c r="E1" s="334"/>
      <c r="F1" s="334"/>
      <c r="G1" s="334"/>
      <c r="H1" s="334"/>
      <c r="I1" s="334"/>
      <c r="J1" s="334"/>
      <c r="K1" s="334"/>
      <c r="L1" s="334"/>
      <c r="M1" s="334"/>
      <c r="N1" s="334"/>
      <c r="O1" s="334"/>
      <c r="P1" s="334"/>
      <c r="Q1" s="334"/>
      <c r="R1" s="334"/>
      <c r="S1" s="334"/>
      <c r="T1" s="334"/>
      <c r="U1" s="334"/>
      <c r="V1" s="334"/>
      <c r="W1" s="334"/>
      <c r="X1" s="334"/>
      <c r="Y1" s="334"/>
      <c r="Z1" s="334"/>
    </row>
    <row r="2" spans="1:26" s="203" customFormat="1"/>
    <row r="3" spans="1:26" s="203" customFormat="1"/>
    <row r="9" spans="1:26" ht="40.799999999999997">
      <c r="E9" s="272" t="str">
        <f>Language!A9</f>
        <v>Laboratory Assessment</v>
      </c>
    </row>
    <row r="10" spans="1:26" ht="40.799999999999997">
      <c r="E10" s="272" t="str">
        <f>Language!A10</f>
        <v xml:space="preserve">of </v>
      </c>
      <c r="K10" s="277"/>
    </row>
    <row r="11" spans="1:26" ht="40.799999999999997">
      <c r="E11" s="272" t="str">
        <f>Language!A11</f>
        <v>Antibiotic Resistance</v>
      </c>
      <c r="K11" s="277"/>
      <c r="M11" s="30"/>
    </row>
    <row r="12" spans="1:26" ht="40.799999999999997">
      <c r="E12" s="272" t="str">
        <f>Language!A12</f>
        <v>Testing Capacity</v>
      </c>
    </row>
    <row r="13" spans="1:26">
      <c r="K13" s="277"/>
    </row>
    <row r="14" spans="1:26" ht="40.799999999999997">
      <c r="E14" s="340" t="str">
        <f>Language!A13</f>
        <v>LAARC</v>
      </c>
      <c r="K14" s="277"/>
      <c r="M14" s="30"/>
    </row>
    <row r="16" spans="1:26" ht="23.4">
      <c r="E16" s="271" t="str">
        <f>Language!A14</f>
        <v>Version 2.0 - August 2020</v>
      </c>
    </row>
    <row r="17" spans="5:5">
      <c r="E17" s="62"/>
    </row>
    <row r="18" spans="5:5">
      <c r="E18" s="341"/>
    </row>
    <row r="19" spans="5:5">
      <c r="E19" s="341"/>
    </row>
    <row r="22" spans="5:5" ht="23.4">
      <c r="E22" s="271" t="str">
        <f>Language!A15</f>
        <v>Developed by CDC in collaboration with IQLS</v>
      </c>
    </row>
  </sheetData>
  <sheetProtection algorithmName="SHA-256" hashValue="KNQTmxrzTkNEbKVpMiyEomW8RF0tB276cLjAfzYIPMg=" saltValue="L7FuNAc9SHdj3Saw00w3TA==" spinCount="100000" sheet="1" objects="1" scenarios="1"/>
  <phoneticPr fontId="45" type="noConversion"/>
  <pageMargins left="0.70000000000000007" right="0.70000000000000007" top="0.75000000000000011" bottom="0.75000000000000011" header="0.30000000000000004" footer="0.3000000000000000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0070C0"/>
    <pageSetUpPr fitToPage="1"/>
  </sheetPr>
  <dimension ref="A1:K69"/>
  <sheetViews>
    <sheetView zoomScaleNormal="100" zoomScalePageLayoutView="80" workbookViewId="0">
      <selection activeCell="C3" sqref="C3"/>
    </sheetView>
  </sheetViews>
  <sheetFormatPr defaultColWidth="11" defaultRowHeight="15.6"/>
  <cols>
    <col min="1" max="1" width="4.69921875" style="6" customWidth="1"/>
    <col min="2" max="2" width="82.19921875" style="8" customWidth="1"/>
    <col min="3" max="3" width="5.19921875" style="28" customWidth="1"/>
    <col min="4" max="4" width="4" style="22" customWidth="1"/>
    <col min="5" max="5" width="3.69921875" style="22" hidden="1" customWidth="1"/>
    <col min="6" max="6" width="5.19921875" style="28" hidden="1" customWidth="1"/>
    <col min="7" max="7" width="5.19921875" style="22" customWidth="1"/>
    <col min="8" max="8" width="37.69921875" style="71" customWidth="1"/>
    <col min="9" max="9" width="9.69921875" style="189" customWidth="1"/>
    <col min="10" max="10" width="9.69921875" style="194" customWidth="1"/>
    <col min="11" max="16384" width="11" style="22"/>
  </cols>
  <sheetData>
    <row r="1" spans="1:9" ht="16.2" thickBot="1">
      <c r="A1" s="10"/>
      <c r="B1" s="43" t="str">
        <f>Language!A819</f>
        <v>4- QUALITY ASSURANCE</v>
      </c>
      <c r="C1" s="51" t="str">
        <f>IF(COUNT(G3:G67)=0,"???",AVERAGE(G3:G67))</f>
        <v>???</v>
      </c>
      <c r="H1" s="192" t="str">
        <f>'Facility 1'!H1</f>
        <v>Comments</v>
      </c>
    </row>
    <row r="2" spans="1:9" ht="16.2" thickBot="1">
      <c r="A2" s="160"/>
      <c r="B2" s="112" t="str">
        <f>Language!A820</f>
        <v>QUALITY STRUCTURE/BASICS</v>
      </c>
      <c r="C2" s="80" t="str">
        <f>IF(COUNTBLANK(C3:C18)=16,"???",IF(COUNT(G3:G18)=0,"NA",AVERAGE(G3:G18)))</f>
        <v>???</v>
      </c>
      <c r="F2" s="29"/>
      <c r="G2" s="18"/>
      <c r="H2" s="427"/>
    </row>
    <row r="3" spans="1:9">
      <c r="A3" s="10" t="s">
        <v>5785</v>
      </c>
      <c r="B3" s="92" t="str">
        <f>Language!A821</f>
        <v>Is there a Quality Manual in place that conforms to ISO standards? (15189, 17025 or 9001)?</v>
      </c>
      <c r="C3" s="27"/>
      <c r="E3" s="28"/>
      <c r="F3" s="29">
        <f>C3</f>
        <v>0</v>
      </c>
      <c r="G3" s="18" t="str">
        <f t="shared" ref="G3:G5" si="0">IF(F3="Yes",1,IF(F3="No",0,"'"))</f>
        <v>'</v>
      </c>
      <c r="H3" s="428"/>
    </row>
    <row r="4" spans="1:9">
      <c r="A4" s="10" t="s">
        <v>5786</v>
      </c>
      <c r="B4" s="92" t="str">
        <f>Language!A822</f>
        <v>Does the lab have a formally designated Quality Officer or Manager?</v>
      </c>
      <c r="C4" s="27"/>
      <c r="F4" s="29">
        <f>C4</f>
        <v>0</v>
      </c>
      <c r="G4" s="18" t="str">
        <f t="shared" si="0"/>
        <v>'</v>
      </c>
      <c r="H4" s="429"/>
    </row>
    <row r="5" spans="1:9">
      <c r="A5" s="10" t="s">
        <v>5787</v>
      </c>
      <c r="B5" s="176" t="str">
        <f>Language!A823</f>
        <v>Is there a Quality Focal Point in bacteriology, in charge of collaboration with quality manager?</v>
      </c>
      <c r="C5" s="27"/>
      <c r="F5" s="29">
        <f>C5</f>
        <v>0</v>
      </c>
      <c r="G5" s="18" t="str">
        <f t="shared" si="0"/>
        <v>'</v>
      </c>
      <c r="H5" s="428"/>
    </row>
    <row r="6" spans="1:9" ht="27.6" customHeight="1">
      <c r="A6" s="10" t="s">
        <v>5788</v>
      </c>
      <c r="B6" s="176" t="str">
        <f>Language!A824</f>
        <v>Is there documentation showing that the Quality Officers and Focal Points have received appropriate training in Quality Management Systems (QMS)?</v>
      </c>
      <c r="C6" s="27"/>
      <c r="F6" s="90" t="str">
        <f>IF(C6=1,"Yes",IF(C6=2,"Some",IF(C6=3,"No","0")))</f>
        <v>0</v>
      </c>
      <c r="G6" s="18" t="str">
        <f>IF(F6="Yes",1,IF(F6="Some",0.5,IF(F6="No",0,"'")))</f>
        <v>'</v>
      </c>
      <c r="H6" s="433"/>
      <c r="I6" s="188" t="str">
        <f>IF(F6="No","Training Opportunity",IF(F6="Some","Training Opportunity","'"))</f>
        <v>'</v>
      </c>
    </row>
    <row r="7" spans="1:9">
      <c r="A7" s="10"/>
      <c r="B7" s="439" t="str">
        <f>Language!A825</f>
        <v>1: Yes - 2: Some, but would like additional training - 3: No training documented</v>
      </c>
      <c r="D7" s="28"/>
      <c r="E7" s="28"/>
      <c r="G7" s="28"/>
    </row>
    <row r="8" spans="1:9" ht="27.6" customHeight="1">
      <c r="A8" s="10" t="s">
        <v>5789</v>
      </c>
      <c r="B8" s="8" t="str">
        <f>Language!A826</f>
        <v>How often does a Supervisor or Quality Officer review Media QC, ID QC, and AST QC results?</v>
      </c>
      <c r="C8" s="27"/>
      <c r="F8" s="29">
        <f>C8</f>
        <v>0</v>
      </c>
      <c r="G8" s="18" t="str">
        <f>IF(F8=1,1,IF(F8=2,0.5,IF(F8=0,"'",0)))</f>
        <v>'</v>
      </c>
      <c r="H8" s="430"/>
    </row>
    <row r="9" spans="1:9">
      <c r="A9" s="10"/>
      <c r="B9" s="439" t="str">
        <f>Language!A827</f>
        <v>1: Weekly  – 2: Monthly  – 3: Sporadically – 4: Never</v>
      </c>
    </row>
    <row r="10" spans="1:9">
      <c r="A10" s="10" t="s">
        <v>5790</v>
      </c>
      <c r="B10" s="8" t="str">
        <f>Language!A828</f>
        <v>Is there evidence that QC review is performed at the stated frequency?</v>
      </c>
      <c r="C10" s="27"/>
      <c r="F10" s="29">
        <f>C10</f>
        <v>0</v>
      </c>
      <c r="G10" s="18" t="str">
        <f>IF(F10=1,1,IF(F10=2,0.5,IF(F10=3,0,"'")))</f>
        <v>'</v>
      </c>
      <c r="H10" s="433"/>
    </row>
    <row r="11" spans="1:9">
      <c r="A11" s="10"/>
      <c r="B11" s="439" t="str">
        <f>Language!A829</f>
        <v>1: Yes, for all QC results - 2: Yes, but only for some QC results - 3: No</v>
      </c>
    </row>
    <row r="12" spans="1:9" ht="27.6" customHeight="1">
      <c r="A12" s="10" t="s">
        <v>5791</v>
      </c>
      <c r="B12" s="8" t="str">
        <f>Language!A830</f>
        <v xml:space="preserve">Is there documentation showing that the Supervisor/Quality Officer received training on how to effectively troubleshoot QC failures? </v>
      </c>
      <c r="C12" s="27"/>
      <c r="F12" s="90" t="str">
        <f>IF(C12=1,"Yes",IF(C12=2,"Some",IF(C12=3,"No","0")))</f>
        <v>0</v>
      </c>
      <c r="G12" s="18" t="str">
        <f>IF(F12="Yes",1,IF(F12="Some",0.5,IF(F12="No",0,"'")))</f>
        <v>'</v>
      </c>
      <c r="H12" s="433"/>
      <c r="I12" s="188" t="str">
        <f>IF(F12="No","Training Opportunity",IF(F12="Some","Training Opportunity","'"))</f>
        <v>'</v>
      </c>
    </row>
    <row r="13" spans="1:9">
      <c r="A13" s="10"/>
      <c r="B13" s="439" t="str">
        <f>Language!A831</f>
        <v>1: Yes - 2: Some, but would like additional training - 3: No training documented</v>
      </c>
      <c r="D13" s="28"/>
      <c r="E13" s="28"/>
      <c r="G13" s="28"/>
    </row>
    <row r="14" spans="1:9">
      <c r="A14" s="10" t="s">
        <v>5792</v>
      </c>
      <c r="B14" s="55" t="str">
        <f>Language!A832</f>
        <v>Does a Supervisor or qualified designee review positive culture results every day?</v>
      </c>
      <c r="C14" s="27"/>
      <c r="F14" s="29">
        <f>C14</f>
        <v>0</v>
      </c>
      <c r="G14" s="18" t="str">
        <f t="shared" ref="G14:G15" si="1">IF(F14="Yes",1,IF(F14="No",0,"'"))</f>
        <v>'</v>
      </c>
      <c r="H14" s="430"/>
    </row>
    <row r="15" spans="1:9" ht="27.6" customHeight="1">
      <c r="A15" s="10" t="s">
        <v>5793</v>
      </c>
      <c r="B15" s="20" t="str">
        <f>Language!A833</f>
        <v>Are there written guidelines stating who is permitted to modify erroneous lab results after they have been reported?</v>
      </c>
      <c r="C15" s="27"/>
      <c r="F15" s="29">
        <f>C15</f>
        <v>0</v>
      </c>
      <c r="G15" s="18" t="str">
        <f t="shared" si="1"/>
        <v>'</v>
      </c>
      <c r="H15" s="430"/>
    </row>
    <row r="16" spans="1:9">
      <c r="A16" s="10" t="s">
        <v>5794</v>
      </c>
      <c r="B16" s="8" t="str">
        <f>Language!A834</f>
        <v>Who is permitted to modify erroneous lab results?</v>
      </c>
      <c r="C16" s="27"/>
      <c r="F16" s="29">
        <f>C16</f>
        <v>0</v>
      </c>
      <c r="G16" s="18" t="str">
        <f>IF(F16=1,1,IF(F16=0,"'",0))</f>
        <v>'</v>
      </c>
      <c r="H16" s="433"/>
    </row>
    <row r="17" spans="1:11">
      <c r="A17" s="10"/>
      <c r="B17" s="439" t="str">
        <f>Language!A835</f>
        <v>1: Supervisors and/or persons with supervisory permission - 2: All microbiologists</v>
      </c>
    </row>
    <row r="18" spans="1:11">
      <c r="A18" s="10" t="s">
        <v>5795</v>
      </c>
      <c r="B18" s="8" t="str">
        <f>Language!A836</f>
        <v>When corrections to patient results are made, what is done with the erroneous result?</v>
      </c>
      <c r="C18" s="27"/>
      <c r="F18" s="29">
        <f>C18</f>
        <v>0</v>
      </c>
      <c r="G18" s="18" t="str">
        <f>IF(F18=1,1,IF(F18=0,"'",0))</f>
        <v>'</v>
      </c>
      <c r="H18" s="430"/>
    </row>
    <row r="19" spans="1:11" ht="27.6" customHeight="1">
      <c r="A19" s="10"/>
      <c r="B19" s="439" t="str">
        <f>Language!A837</f>
        <v>1: Erroneous results remain in place but are amended to reflect that they are erroneous - 2: Erroneous results are deleted from the record - 3: Other(explain in comments)</v>
      </c>
    </row>
    <row r="20" spans="1:11" ht="16.2" thickBot="1">
      <c r="A20" s="16"/>
      <c r="B20" s="444"/>
      <c r="C20" s="227"/>
      <c r="D20" s="487"/>
      <c r="E20" s="194"/>
      <c r="F20" s="194"/>
      <c r="G20" s="194"/>
      <c r="H20" s="444"/>
      <c r="I20" s="22"/>
      <c r="K20" s="194"/>
    </row>
    <row r="21" spans="1:11" ht="16.2" thickBot="1">
      <c r="A21" s="160"/>
      <c r="B21" s="112" t="str">
        <f>Language!A838</f>
        <v>LABORATORY STAFF EDUCATION/TRAINING/COMPETENCY</v>
      </c>
      <c r="C21" s="80" t="str">
        <f>IF(COUNTBLANK(C22:C34)=13,"???",IF(COUNT(G22:G34)=0,"NA",AVERAGE(G22:G34)))</f>
        <v>???</v>
      </c>
      <c r="F21" s="29"/>
      <c r="G21" s="18"/>
      <c r="H21" s="427"/>
    </row>
    <row r="22" spans="1:11" ht="27.6" customHeight="1">
      <c r="A22" s="10" t="s">
        <v>5796</v>
      </c>
      <c r="B22" s="58" t="str">
        <f>Language!A839</f>
        <v>Does at least 50% of the technical staff possess formal education in microbiology or medical laboratory science? (Refer to the figure in column D)</v>
      </c>
      <c r="C22" s="423"/>
      <c r="D22" s="107" t="e">
        <f>'General 0'!C136</f>
        <v>#DIV/0!</v>
      </c>
      <c r="F22" s="23">
        <f>C22</f>
        <v>0</v>
      </c>
      <c r="G22" s="18" t="str">
        <f t="shared" ref="G22:G25" si="2">IF(F22="Yes",1,IF(F22="No",0,"'"))</f>
        <v>'</v>
      </c>
      <c r="H22" s="429"/>
      <c r="I22" s="18" t="str">
        <f>IF(C22="No","System Flag","'")</f>
        <v>'</v>
      </c>
    </row>
    <row r="23" spans="1:11" ht="27.6" customHeight="1">
      <c r="A23" s="10" t="s">
        <v>5797</v>
      </c>
      <c r="B23" s="8" t="str">
        <f>Language!A840</f>
        <v>Is the lab sufficiently staffed to provide high quality services? (Including support staff)</v>
      </c>
      <c r="C23" s="108"/>
      <c r="F23" s="29">
        <f>C23</f>
        <v>0</v>
      </c>
      <c r="G23" s="18" t="str">
        <f t="shared" si="2"/>
        <v>'</v>
      </c>
      <c r="H23" s="429"/>
      <c r="I23" s="18" t="str">
        <f>IF(C23="No","System Flag","'")</f>
        <v>'</v>
      </c>
    </row>
    <row r="24" spans="1:11">
      <c r="A24" s="10" t="s">
        <v>5798</v>
      </c>
      <c r="B24" s="13" t="str">
        <f>Language!A841</f>
        <v>Does the lab have a standardized process for training new employees?</v>
      </c>
      <c r="C24" s="423"/>
      <c r="F24" s="23">
        <f>C24</f>
        <v>0</v>
      </c>
      <c r="G24" s="18" t="str">
        <f t="shared" si="2"/>
        <v>'</v>
      </c>
      <c r="H24" s="431"/>
      <c r="I24" s="190"/>
    </row>
    <row r="25" spans="1:11" ht="27.6" customHeight="1">
      <c r="A25" s="10" t="s">
        <v>5799</v>
      </c>
      <c r="B25" s="8" t="str">
        <f>Language!A842</f>
        <v>Does the lab have up-to-date documentation showing which benches &amp; tests each staff member has been trained on and approved to work independently? (Review such records)</v>
      </c>
      <c r="C25" s="423"/>
      <c r="F25" s="23">
        <f>C25</f>
        <v>0</v>
      </c>
      <c r="G25" s="18" t="str">
        <f t="shared" si="2"/>
        <v>'</v>
      </c>
      <c r="H25" s="431"/>
      <c r="I25" s="190"/>
      <c r="K25" s="496"/>
    </row>
    <row r="26" spans="1:11" ht="41.55" customHeight="1">
      <c r="A26" s="10"/>
      <c r="B26" s="8" t="str">
        <f>Language!A843</f>
        <v>Do records demonstrate that lab staff receive annual competency assessments for each of the following? (Review competency records, select NA if not on lab's test menu)</v>
      </c>
      <c r="C26" s="102"/>
      <c r="D26" s="102"/>
      <c r="E26" s="102"/>
      <c r="F26" s="102"/>
      <c r="G26" s="102"/>
      <c r="H26" s="162"/>
      <c r="I26" s="190"/>
      <c r="K26" s="497"/>
    </row>
    <row r="27" spans="1:11">
      <c r="A27" s="10" t="s">
        <v>5800</v>
      </c>
      <c r="B27" s="37" t="str">
        <f>Language!A844</f>
        <v>Blood culture</v>
      </c>
      <c r="C27" s="27"/>
      <c r="F27" s="29">
        <f t="shared" ref="F27:F34" si="3">C27</f>
        <v>0</v>
      </c>
      <c r="G27" s="18" t="str">
        <f t="shared" ref="G27:G33" si="4">IF(F27="Yes",1,IF(F27="No",0,"'"))</f>
        <v>'</v>
      </c>
      <c r="H27" s="430"/>
      <c r="I27" s="190"/>
    </row>
    <row r="28" spans="1:11">
      <c r="A28" s="10" t="s">
        <v>5801</v>
      </c>
      <c r="B28" s="37" t="str">
        <f>Language!A845</f>
        <v>Urine culture</v>
      </c>
      <c r="C28" s="27"/>
      <c r="F28" s="29">
        <f t="shared" si="3"/>
        <v>0</v>
      </c>
      <c r="G28" s="18" t="str">
        <f t="shared" si="4"/>
        <v>'</v>
      </c>
      <c r="H28" s="430"/>
      <c r="I28" s="190"/>
    </row>
    <row r="29" spans="1:11">
      <c r="A29" s="10" t="s">
        <v>5802</v>
      </c>
      <c r="B29" s="37" t="str">
        <f>Language!A846</f>
        <v>Stool culture</v>
      </c>
      <c r="C29" s="27"/>
      <c r="F29" s="29">
        <f t="shared" si="3"/>
        <v>0</v>
      </c>
      <c r="G29" s="18" t="str">
        <f t="shared" si="4"/>
        <v>'</v>
      </c>
      <c r="H29" s="430"/>
      <c r="I29" s="190"/>
    </row>
    <row r="30" spans="1:11">
      <c r="A30" s="10" t="s">
        <v>5803</v>
      </c>
      <c r="B30" s="37" t="str">
        <f>Language!A847</f>
        <v>Respiratory culture (non-TB)</v>
      </c>
      <c r="C30" s="27"/>
      <c r="F30" s="29">
        <f t="shared" si="3"/>
        <v>0</v>
      </c>
      <c r="G30" s="18" t="str">
        <f t="shared" si="4"/>
        <v>'</v>
      </c>
      <c r="H30" s="430"/>
      <c r="I30" s="190"/>
    </row>
    <row r="31" spans="1:11">
      <c r="A31" s="10" t="s">
        <v>5804</v>
      </c>
      <c r="B31" s="37" t="str">
        <f>Language!A848</f>
        <v>Wound culture</v>
      </c>
      <c r="C31" s="27"/>
      <c r="F31" s="29">
        <f t="shared" si="3"/>
        <v>0</v>
      </c>
      <c r="G31" s="18" t="str">
        <f t="shared" si="4"/>
        <v>'</v>
      </c>
      <c r="H31" s="430"/>
      <c r="I31" s="190"/>
    </row>
    <row r="32" spans="1:11">
      <c r="A32" s="10" t="s">
        <v>5805</v>
      </c>
      <c r="B32" s="109" t="str">
        <f>Language!A849</f>
        <v>Cerebrospinal Fluid Cultures</v>
      </c>
      <c r="C32" s="27"/>
      <c r="F32" s="29">
        <f t="shared" si="3"/>
        <v>0</v>
      </c>
      <c r="G32" s="18" t="str">
        <f t="shared" si="4"/>
        <v>'</v>
      </c>
      <c r="H32" s="430"/>
      <c r="I32" s="190"/>
    </row>
    <row r="33" spans="1:9">
      <c r="A33" s="10" t="s">
        <v>5806</v>
      </c>
      <c r="B33" s="109" t="str">
        <f>Language!A850</f>
        <v>Sterile Body Fluid Cultures</v>
      </c>
      <c r="C33" s="27"/>
      <c r="F33" s="29">
        <f t="shared" si="3"/>
        <v>0</v>
      </c>
      <c r="G33" s="18" t="str">
        <f t="shared" si="4"/>
        <v>'</v>
      </c>
      <c r="H33" s="430"/>
      <c r="I33" s="190"/>
    </row>
    <row r="34" spans="1:9">
      <c r="A34" s="10" t="s">
        <v>5807</v>
      </c>
      <c r="B34" s="37" t="str">
        <f>Language!A851</f>
        <v>Antibiotic Susceptibility Testing</v>
      </c>
      <c r="C34" s="27"/>
      <c r="F34" s="29">
        <f t="shared" si="3"/>
        <v>0</v>
      </c>
      <c r="G34" s="18" t="str">
        <f t="shared" ref="G34" si="5">IF(F34="Yes",1,IF(F34="No",0,"'"))</f>
        <v>'</v>
      </c>
      <c r="H34" s="430"/>
      <c r="I34" s="190"/>
    </row>
    <row r="35" spans="1:9" ht="54" customHeight="1" thickBot="1">
      <c r="A35" s="10"/>
      <c r="B35" s="623" t="str">
        <f>Language!A852</f>
        <v>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v>
      </c>
      <c r="C35" s="624"/>
      <c r="D35" s="624"/>
      <c r="E35" s="624"/>
      <c r="F35" s="624"/>
      <c r="G35" s="624"/>
      <c r="H35" s="624"/>
      <c r="I35" s="190"/>
    </row>
    <row r="36" spans="1:9" ht="16.2" thickBot="1">
      <c r="A36" s="160"/>
      <c r="B36" s="112" t="str">
        <f>Language!A853</f>
        <v>TOUBLESHOOTING, PROBLEM SOLVING, AND ROOT CAUSE ANALYSES</v>
      </c>
      <c r="C36" s="80" t="str">
        <f>IF(COUNTBLANK(C37:C44)=8,"???",IF(COUNT(G37:G45)=0,"NA",AVERAGE(G37:G45)))</f>
        <v>???</v>
      </c>
      <c r="F36" s="29"/>
      <c r="G36" s="18"/>
      <c r="H36" s="427"/>
    </row>
    <row r="37" spans="1:9" ht="27.6" customHeight="1">
      <c r="A37" s="10" t="s">
        <v>5808</v>
      </c>
      <c r="B37" s="20" t="str">
        <f>Language!A854</f>
        <v>Is a root cause analysis performed when unacceptable QC results are obtained? (Request to see a recent example)</v>
      </c>
      <c r="C37" s="423"/>
      <c r="D37" s="107"/>
      <c r="F37" s="23">
        <f>C37</f>
        <v>0</v>
      </c>
      <c r="G37" s="18" t="str">
        <f t="shared" ref="G37:G38" si="6">IF(F37="Yes",1,IF(F37="No",0,"'"))</f>
        <v>'</v>
      </c>
      <c r="H37" s="429"/>
      <c r="I37" s="190"/>
    </row>
    <row r="38" spans="1:9">
      <c r="A38" s="10" t="s">
        <v>5809</v>
      </c>
      <c r="B38" s="20" t="str">
        <f>Language!A855</f>
        <v>Is corrective action based on the findings of the root cause analysis documented?</v>
      </c>
      <c r="C38" s="108"/>
      <c r="F38" s="29">
        <f>C38</f>
        <v>0</v>
      </c>
      <c r="G38" s="18" t="str">
        <f t="shared" si="6"/>
        <v>'</v>
      </c>
      <c r="H38" s="430"/>
      <c r="I38" s="190"/>
    </row>
    <row r="39" spans="1:9" ht="27.6" customHeight="1">
      <c r="A39" s="10" t="s">
        <v>5810</v>
      </c>
      <c r="B39" s="20" t="str">
        <f>Language!A856</f>
        <v>Is there evidence the supervisor or Quality Officer has received adequate training on how to perform root-cause analysis of QC failures?</v>
      </c>
      <c r="C39" s="108"/>
      <c r="F39" s="90" t="str">
        <f>IF(C39=1,"Yes",IF(C39=2,"Some",IF(C39=3,"No","0")))</f>
        <v>0</v>
      </c>
      <c r="G39" s="18" t="str">
        <f>IF(F39="Yes",1,IF(F39="Some",0.75,IF(F39="No",0,"'")))</f>
        <v>'</v>
      </c>
      <c r="H39" s="430"/>
      <c r="I39" s="188" t="str">
        <f>IF(F39="No","Training Opportunity",IF(F39="Some","Training Opportunity","'"))</f>
        <v>'</v>
      </c>
    </row>
    <row r="40" spans="1:9">
      <c r="A40" s="10"/>
      <c r="B40" s="439" t="str">
        <f>Language!A857</f>
        <v>1: Yes - 2: Some, but would like additional training - 3: No</v>
      </c>
      <c r="C40" s="102"/>
      <c r="D40" s="102"/>
      <c r="E40" s="102"/>
      <c r="F40" s="102"/>
      <c r="G40" s="102"/>
      <c r="H40" s="162"/>
      <c r="I40" s="190"/>
    </row>
    <row r="41" spans="1:9" ht="27.6" customHeight="1">
      <c r="A41" s="10" t="s">
        <v>5811</v>
      </c>
      <c r="B41" s="8" t="str">
        <f>Language!A858</f>
        <v>Are patient results reported if QC of media, ID method, or AST method was not performed?</v>
      </c>
      <c r="C41" s="108"/>
      <c r="F41" s="29">
        <f>C41</f>
        <v>0</v>
      </c>
      <c r="G41" s="18" t="str">
        <f>IF(F41="No",1,IF(F41="Yes",0,"'"))</f>
        <v>'</v>
      </c>
      <c r="H41" s="430"/>
      <c r="I41" s="18" t="str">
        <f>IF(C41="Yes","Red Flag","'")</f>
        <v>'</v>
      </c>
    </row>
    <row r="42" spans="1:9" ht="27.6" customHeight="1">
      <c r="A42" s="10" t="s">
        <v>5812</v>
      </c>
      <c r="B42" s="8" t="str">
        <f>Language!A859</f>
        <v>Are patient results reported if QC of media, ID method, or AST method failed to produce acceptable results?</v>
      </c>
      <c r="C42" s="108"/>
      <c r="F42" s="29">
        <f>C42</f>
        <v>0</v>
      </c>
      <c r="G42" s="18" t="str">
        <f>IF(F42="No",1,IF(F42="Yes",0,"'"))</f>
        <v>'</v>
      </c>
      <c r="H42" s="430"/>
      <c r="I42" s="18" t="str">
        <f>IF(C42="Yes","Red Flag","'")</f>
        <v>'</v>
      </c>
    </row>
    <row r="43" spans="1:9" ht="27.6" customHeight="1">
      <c r="A43" s="10" t="s">
        <v>5813</v>
      </c>
      <c r="B43" s="8" t="str">
        <f>Language!A860</f>
        <v>Is there evidence that the lab troubleshoots unacceptable QC results for media, reagents, ID systems and AST methods?</v>
      </c>
      <c r="C43" s="108"/>
      <c r="F43" s="29">
        <f>C43</f>
        <v>0</v>
      </c>
      <c r="G43" s="18" t="str">
        <f t="shared" ref="G43:G44" si="7">IF(F43="Yes",1,IF(F43="No",0,"'"))</f>
        <v>'</v>
      </c>
      <c r="H43" s="430"/>
      <c r="I43" s="190"/>
    </row>
    <row r="44" spans="1:9" ht="27.6" customHeight="1">
      <c r="A44" s="10" t="s">
        <v>5814</v>
      </c>
      <c r="B44" s="8" t="str">
        <f>Language!A861</f>
        <v xml:space="preserve">If automated instruments are used for ID, (e.g., Vitek, Phoenix, Microscan) is there user manual or SOP that describes how to troubleshoot instrument failures? </v>
      </c>
      <c r="C44" s="108"/>
      <c r="F44" s="29">
        <f>C44</f>
        <v>0</v>
      </c>
      <c r="G44" s="18" t="str">
        <f t="shared" si="7"/>
        <v>'</v>
      </c>
      <c r="H44" s="430"/>
    </row>
    <row r="45" spans="1:9" ht="16.2" thickBot="1">
      <c r="A45" s="10"/>
      <c r="B45" s="439" t="str">
        <f>Language!A862</f>
        <v>Check NA if lab does not use automated instrument</v>
      </c>
    </row>
    <row r="46" spans="1:9" ht="16.2" thickBot="1">
      <c r="A46" s="160"/>
      <c r="B46" s="86" t="str">
        <f>Language!A863</f>
        <v>EXTERNAL QUALITY ASSESSMENT (EQA)</v>
      </c>
      <c r="C46" s="385" t="str">
        <f>IF(COUNTBLANK(C47:C67)=21,"???",IF(COUNT(G47:G67)=0,"NA",AVERAGE(G47:G67)))</f>
        <v>???</v>
      </c>
      <c r="E46" s="498"/>
      <c r="F46" s="499"/>
      <c r="G46" s="500"/>
      <c r="H46" s="427"/>
    </row>
    <row r="47" spans="1:9" ht="41.55" customHeight="1">
      <c r="A47" s="10">
        <v>4.3099999999999996</v>
      </c>
      <c r="B47" s="8" t="str">
        <f>Language!A864</f>
        <v xml:space="preserve">How many times per year does the lab currently receive EQA/PT challenges that include both bacterial identification &amp; AST? (Please do not include challenges designed to focus on a single organism, e.g., TB or N. gonorrhoeae) </v>
      </c>
      <c r="C47" s="27"/>
      <c r="F47" s="29">
        <f>C47</f>
        <v>0</v>
      </c>
      <c r="G47" s="18" t="str">
        <f>IF(F47=3,1,IF(F47=2,0.75,IF(F47=1,0.5,IF(F47=4,0,"'"))))</f>
        <v>'</v>
      </c>
      <c r="H47" s="430"/>
      <c r="I47" s="18" t="str">
        <f>IF(C47=4,"System Flag","'")</f>
        <v>'</v>
      </c>
    </row>
    <row r="48" spans="1:9" ht="27.6" customHeight="1">
      <c r="A48" s="10"/>
      <c r="B48" s="439" t="str">
        <f>Language!A865</f>
        <v>1: One time per year; 2: Two times per year; 3: Three times per year or more; 4: Zero (if zero, please answer the next question, then skip to next section)</v>
      </c>
    </row>
    <row r="49" spans="1:9">
      <c r="A49" s="10">
        <v>4.32</v>
      </c>
      <c r="B49" s="8" t="str">
        <f>Language!A866</f>
        <v>If the lab does not participate in an EQA program, what is the reason? (Informational, not scored)</v>
      </c>
      <c r="C49" s="70"/>
      <c r="H49" s="430"/>
    </row>
    <row r="50" spans="1:9">
      <c r="A50" s="10">
        <v>4.33</v>
      </c>
      <c r="B50" s="8" t="str">
        <f>Language!A867</f>
        <v>Is the EQA/PT provider ISO-17043 accredited?</v>
      </c>
      <c r="C50" s="27"/>
      <c r="F50" s="29">
        <f>C50</f>
        <v>0</v>
      </c>
      <c r="G50" s="18" t="str">
        <f t="shared" ref="G50" si="8">IF(F50="Yes",1,IF(F50="No",0,"'"))</f>
        <v>'</v>
      </c>
      <c r="H50" s="430"/>
    </row>
    <row r="51" spans="1:9">
      <c r="A51" s="10"/>
      <c r="B51" s="56" t="str">
        <f>Language!A868</f>
        <v>Please list provider in comments</v>
      </c>
      <c r="D51" s="28"/>
      <c r="E51" s="28"/>
      <c r="G51" s="28"/>
    </row>
    <row r="52" spans="1:9" ht="27.6" customHeight="1">
      <c r="A52" s="76" t="s">
        <v>5815</v>
      </c>
      <c r="B52" s="154" t="str">
        <f>Language!A869</f>
        <v>Are the test methods used on EQA isolates the same as the test methods used for routine patient isolates?</v>
      </c>
      <c r="C52" s="27"/>
      <c r="D52" s="28"/>
      <c r="E52" s="28"/>
      <c r="F52" s="29">
        <f t="shared" ref="F52:F57" si="9">C52</f>
        <v>0</v>
      </c>
      <c r="G52" s="18" t="str">
        <f t="shared" ref="G52" si="10">IF(F52="Yes",1,IF(F52="No",0,"'"))</f>
        <v>'</v>
      </c>
      <c r="H52" s="430"/>
    </row>
    <row r="53" spans="1:9" ht="27.6" customHeight="1">
      <c r="A53" s="76" t="s">
        <v>5816</v>
      </c>
      <c r="B53" s="154" t="str">
        <f>Language!A870</f>
        <v>Does the lab ever perform additional testing on an EQA isolate compared to what would be performed on a typical patient isolate?</v>
      </c>
      <c r="C53" s="27"/>
      <c r="D53" s="28"/>
      <c r="E53" s="28"/>
      <c r="F53" s="29">
        <f t="shared" si="9"/>
        <v>0</v>
      </c>
      <c r="G53" s="18" t="str">
        <f>IF(F53="Yes",0,IF(F53="No",1,"'"))</f>
        <v>'</v>
      </c>
      <c r="H53" s="430"/>
    </row>
    <row r="54" spans="1:9" ht="27.6" customHeight="1">
      <c r="A54" s="76" t="s">
        <v>5817</v>
      </c>
      <c r="B54" s="154" t="str">
        <f>Language!A871</f>
        <v>Does the lab ever send EQA isolates to another lab for confirmation before submitting results?</v>
      </c>
      <c r="C54" s="27"/>
      <c r="D54" s="28"/>
      <c r="E54" s="28"/>
      <c r="F54" s="29">
        <f t="shared" si="9"/>
        <v>0</v>
      </c>
      <c r="G54" s="18" t="str">
        <f t="shared" ref="G54:G55" si="11">IF(F54="Yes",0,IF(F54="No",1,"'"))</f>
        <v>'</v>
      </c>
      <c r="H54" s="430"/>
    </row>
    <row r="55" spans="1:9" ht="27.6" customHeight="1">
      <c r="A55" s="76" t="s">
        <v>5818</v>
      </c>
      <c r="B55" s="154" t="str">
        <f>Language!A872</f>
        <v>Does the lab ever call another lab to ask what their EQA result was before submitting results?</v>
      </c>
      <c r="C55" s="27"/>
      <c r="D55" s="28"/>
      <c r="E55" s="28"/>
      <c r="F55" s="29">
        <f t="shared" si="9"/>
        <v>0</v>
      </c>
      <c r="G55" s="18" t="str">
        <f t="shared" si="11"/>
        <v>'</v>
      </c>
      <c r="H55" s="430"/>
    </row>
    <row r="56" spans="1:9" ht="27.6" customHeight="1">
      <c r="A56" s="76" t="s">
        <v>5819</v>
      </c>
      <c r="B56" s="20" t="str">
        <f>Language!A873</f>
        <v>Are PT/EQA specimens tested by the same staff performing patient testing? (Look for evidence that all staff participate in the challenges, not only supervisors or senior staff)</v>
      </c>
      <c r="C56" s="27"/>
      <c r="F56" s="29">
        <f t="shared" si="9"/>
        <v>0</v>
      </c>
      <c r="G56" s="18" t="str">
        <f t="shared" ref="G56" si="12">IF(F56="Yes",1,IF(F56="No",0,"'"))</f>
        <v>'</v>
      </c>
      <c r="H56" s="430"/>
    </row>
    <row r="57" spans="1:9" ht="27.6" customHeight="1">
      <c r="A57" s="76" t="s">
        <v>5820</v>
      </c>
      <c r="B57" s="20" t="str">
        <f>Language!A874</f>
        <v xml:space="preserve">On average, how long does the lab have to wait before receiving the results of their PT/EQA performance? </v>
      </c>
      <c r="C57" s="27"/>
      <c r="F57" s="29">
        <f t="shared" si="9"/>
        <v>0</v>
      </c>
      <c r="G57" s="18" t="str">
        <f>IF(F57=1,1,IF(F57=2,0.5,IF(F57=0,"'",0)))</f>
        <v>'</v>
      </c>
      <c r="H57" s="430"/>
      <c r="I57" s="177" t="str">
        <f>IF(F57=2,"System Flag",IF(F57=3,"System Flag","'"))</f>
        <v>'</v>
      </c>
    </row>
    <row r="58" spans="1:9">
      <c r="A58" s="10"/>
      <c r="B58" s="439" t="str">
        <f>Language!A875</f>
        <v>1: Less than 2 months; 2: 2 – 6 months; 3: More than 6 months; NA: no EQA</v>
      </c>
      <c r="C58" s="70"/>
      <c r="G58" s="28"/>
      <c r="H58" s="131"/>
    </row>
    <row r="59" spans="1:9" ht="27.6" customHeight="1">
      <c r="A59" s="76" t="s">
        <v>5821</v>
      </c>
      <c r="B59" s="20" t="str">
        <f>Language!A876</f>
        <v xml:space="preserve">Review the 3 most recent EQA challenges for organism identification. On how many did the lab score &gt;80%? </v>
      </c>
      <c r="C59" s="27"/>
      <c r="F59" s="29">
        <f>C59</f>
        <v>0</v>
      </c>
      <c r="G59" s="18" t="str">
        <f>IF(F59=3,1,IF(F59=2,0.75,IF(F59=1,0.33,IF(F59="None",0,"'"))))</f>
        <v>'</v>
      </c>
      <c r="H59" s="430"/>
    </row>
    <row r="60" spans="1:9">
      <c r="A60" s="76"/>
      <c r="B60" s="439" t="str">
        <f>Language!A877</f>
        <v>If scores are not made available to review, select "None"</v>
      </c>
      <c r="C60" s="189"/>
      <c r="D60" s="189"/>
      <c r="E60" s="189"/>
      <c r="F60" s="189"/>
      <c r="G60" s="189"/>
      <c r="H60" s="255"/>
    </row>
    <row r="61" spans="1:9">
      <c r="A61" s="76" t="s">
        <v>5822</v>
      </c>
      <c r="B61" s="20" t="str">
        <f>Language!A878</f>
        <v xml:space="preserve">Review the 3 most recent EQA challenges for AST. On how many did the lab score &gt;80%? </v>
      </c>
      <c r="C61" s="27"/>
      <c r="F61" s="29">
        <f>C61</f>
        <v>0</v>
      </c>
      <c r="G61" s="18" t="str">
        <f>IF(F61=3,1,IF(F61=2,0.75,IF(F61=1,0.33,IF(F61="None",0,"'"))))</f>
        <v>'</v>
      </c>
      <c r="H61" s="430"/>
    </row>
    <row r="62" spans="1:9">
      <c r="A62" s="76"/>
      <c r="B62" s="439" t="str">
        <f>Language!A879</f>
        <v>If scores are not made available to review, select "None"</v>
      </c>
      <c r="C62" s="189"/>
      <c r="D62" s="189"/>
      <c r="E62" s="189"/>
      <c r="F62" s="189"/>
      <c r="G62" s="189"/>
      <c r="H62" s="255"/>
    </row>
    <row r="63" spans="1:9" ht="27.6" customHeight="1">
      <c r="A63" s="76" t="s">
        <v>5823</v>
      </c>
      <c r="B63" s="20" t="str">
        <f>Language!A880</f>
        <v>Is a root cause analysis performed when unacceptable PT/EQA results are obtained? (Request to see a recent example)</v>
      </c>
      <c r="C63" s="27"/>
      <c r="F63" s="29">
        <f>C63</f>
        <v>0</v>
      </c>
      <c r="G63" s="18" t="str">
        <f t="shared" ref="G63:G64" si="13">IF(F63="Yes",1,IF(F63="No",0,"'"))</f>
        <v>'</v>
      </c>
      <c r="H63" s="430"/>
    </row>
    <row r="64" spans="1:9">
      <c r="A64" s="76" t="s">
        <v>5824</v>
      </c>
      <c r="B64" s="20" t="str">
        <f>Language!A881</f>
        <v>Is corrective action based on the findings of the root cause analysis documented?</v>
      </c>
      <c r="C64" s="27"/>
      <c r="F64" s="29">
        <f>C64</f>
        <v>0</v>
      </c>
      <c r="G64" s="18" t="str">
        <f t="shared" si="13"/>
        <v>'</v>
      </c>
      <c r="H64" s="430"/>
    </row>
    <row r="65" spans="1:10" ht="27.6" customHeight="1">
      <c r="A65" s="76" t="s">
        <v>5825</v>
      </c>
      <c r="B65" s="20" t="str">
        <f>Language!A882</f>
        <v>Is there evidence the supervisor or Quality Officer has received adequate training on how to perform root-cause analysis for EQA failures?</v>
      </c>
      <c r="C65" s="46"/>
      <c r="F65" s="90" t="str">
        <f>IF(C65=1,"Yes",IF(C65=2,"Some",IF(C65=3,"No","0")))</f>
        <v>0</v>
      </c>
      <c r="G65" s="18" t="str">
        <f>IF(F65="Yes",1,IF(F65="Some",0.75,IF(F65="No",0,"'")))</f>
        <v>'</v>
      </c>
      <c r="H65" s="430"/>
      <c r="I65" s="188" t="str">
        <f>IF(F65="No","Training Opportunity",IF(F65="Some","Training Opportunity","'"))</f>
        <v>'</v>
      </c>
      <c r="J65" s="501"/>
    </row>
    <row r="66" spans="1:10">
      <c r="A66" s="10"/>
      <c r="B66" s="439" t="str">
        <f>Language!A883</f>
        <v>1: Yes - 2: Some, but would like additional training - 3: No</v>
      </c>
      <c r="C66" s="22"/>
      <c r="F66" s="22"/>
      <c r="H66" s="127"/>
    </row>
    <row r="67" spans="1:10" ht="27.6" customHeight="1">
      <c r="A67" s="76" t="s">
        <v>5826</v>
      </c>
      <c r="B67" s="20" t="str">
        <f>Language!A884</f>
        <v xml:space="preserve">Is laboratory leadership notified of all unacceptable EQA results as soon as they are received? </v>
      </c>
      <c r="C67" s="27"/>
      <c r="F67" s="29">
        <f>C67</f>
        <v>0</v>
      </c>
      <c r="G67" s="18" t="str">
        <f t="shared" ref="G67" si="14">IF(F67="Yes",1,IF(F67="No",0,"'"))</f>
        <v>'</v>
      </c>
      <c r="H67" s="430"/>
    </row>
    <row r="69" spans="1:10">
      <c r="B69" s="119"/>
    </row>
  </sheetData>
  <sheetProtection algorithmName="SHA-256" hashValue="66totMVW+DSl20oAxrP+2HiYERUsMF+k2Vm1w8lkAQE=" saltValue="NCedLLHGam1QIKp2nSrbFg==" spinCount="100000" sheet="1" selectLockedCells="1"/>
  <mergeCells count="1">
    <mergeCell ref="B35:H35"/>
  </mergeCells>
  <phoneticPr fontId="45" type="noConversion"/>
  <conditionalFormatting sqref="C2">
    <cfRule type="cellIs" dxfId="1234" priority="282" stopIfTrue="1" operator="between">
      <formula>0.5</formula>
      <formula>0.799</formula>
    </cfRule>
    <cfRule type="cellIs" dxfId="1233" priority="281" stopIfTrue="1" operator="greaterThanOrEqual">
      <formula>0.8</formula>
    </cfRule>
    <cfRule type="cellIs" dxfId="1232" priority="283" stopIfTrue="1" operator="lessThan">
      <formula>0.5</formula>
    </cfRule>
  </conditionalFormatting>
  <conditionalFormatting sqref="C21">
    <cfRule type="cellIs" dxfId="1231" priority="161" stopIfTrue="1" operator="greaterThanOrEqual">
      <formula>0.8</formula>
    </cfRule>
    <cfRule type="cellIs" dxfId="1230" priority="162" stopIfTrue="1" operator="between">
      <formula>0.5</formula>
      <formula>0.799</formula>
    </cfRule>
    <cfRule type="cellIs" dxfId="1229" priority="163" stopIfTrue="1" operator="lessThan">
      <formula>0.5</formula>
    </cfRule>
  </conditionalFormatting>
  <conditionalFormatting sqref="C36">
    <cfRule type="cellIs" dxfId="1228" priority="118" stopIfTrue="1" operator="greaterThanOrEqual">
      <formula>0.8</formula>
    </cfRule>
    <cfRule type="cellIs" dxfId="1227" priority="119" stopIfTrue="1" operator="between">
      <formula>0.5</formula>
      <formula>0.799</formula>
    </cfRule>
    <cfRule type="cellIs" dxfId="1226" priority="120" stopIfTrue="1" operator="lessThan">
      <formula>0.5</formula>
    </cfRule>
  </conditionalFormatting>
  <conditionalFormatting sqref="C46">
    <cfRule type="cellIs" dxfId="1225" priority="305" stopIfTrue="1" operator="lessThan">
      <formula>0.5</formula>
    </cfRule>
    <cfRule type="cellIs" dxfId="1224" priority="303" stopIfTrue="1" operator="greaterThanOrEqual">
      <formula>0.8</formula>
    </cfRule>
    <cfRule type="cellIs" dxfId="1223" priority="304" stopIfTrue="1" operator="between">
      <formula>0.5</formula>
      <formula>0.799</formula>
    </cfRule>
  </conditionalFormatting>
  <conditionalFormatting sqref="G1:G9">
    <cfRule type="containsText" dxfId="1222" priority="18" stopIfTrue="1" operator="containsText" text="RED FLAG">
      <formula>NOT(ISERROR(SEARCH("RED FLAG",G1)))</formula>
    </cfRule>
  </conditionalFormatting>
  <conditionalFormatting sqref="G2:G6">
    <cfRule type="cellIs" dxfId="1221" priority="29" stopIfTrue="1" operator="greaterThan">
      <formula>0.75</formula>
    </cfRule>
    <cfRule type="cellIs" dxfId="1220" priority="28" stopIfTrue="1" operator="between">
      <formula>0.5</formula>
      <formula>0.75</formula>
    </cfRule>
    <cfRule type="cellIs" dxfId="1219" priority="27" stopIfTrue="1" operator="lessThan">
      <formula>0.5</formula>
    </cfRule>
  </conditionalFormatting>
  <conditionalFormatting sqref="G8">
    <cfRule type="cellIs" dxfId="1218" priority="15" stopIfTrue="1" operator="lessThan">
      <formula>0.5</formula>
    </cfRule>
    <cfRule type="cellIs" dxfId="1217" priority="16" stopIfTrue="1" operator="between">
      <formula>0.5</formula>
      <formula>0.75</formula>
    </cfRule>
    <cfRule type="cellIs" dxfId="1216" priority="19" stopIfTrue="1" operator="lessThan">
      <formula>0.5</formula>
    </cfRule>
    <cfRule type="cellIs" dxfId="1215" priority="20" stopIfTrue="1" operator="between">
      <formula>0.5</formula>
      <formula>0.75</formula>
    </cfRule>
    <cfRule type="cellIs" dxfId="1214" priority="17" stopIfTrue="1" operator="greaterThan">
      <formula>0.75</formula>
    </cfRule>
    <cfRule type="cellIs" dxfId="1213" priority="12" stopIfTrue="1" operator="lessThan">
      <formula>0.5</formula>
    </cfRule>
    <cfRule type="cellIs" dxfId="1212" priority="13" stopIfTrue="1" operator="between">
      <formula>0.5</formula>
      <formula>0.75</formula>
    </cfRule>
    <cfRule type="cellIs" dxfId="1211" priority="14" stopIfTrue="1" operator="greaterThan">
      <formula>0.75</formula>
    </cfRule>
    <cfRule type="cellIs" dxfId="1210" priority="21" stopIfTrue="1" operator="greaterThan">
      <formula>0.75</formula>
    </cfRule>
  </conditionalFormatting>
  <conditionalFormatting sqref="G10">
    <cfRule type="cellIs" dxfId="1209" priority="11" stopIfTrue="1" operator="greaterThan">
      <formula>0.75</formula>
    </cfRule>
    <cfRule type="cellIs" dxfId="1208" priority="10" stopIfTrue="1" operator="between">
      <formula>0.5</formula>
      <formula>0.75</formula>
    </cfRule>
    <cfRule type="cellIs" dxfId="1207" priority="9" stopIfTrue="1" operator="lessThan">
      <formula>0.5</formula>
    </cfRule>
    <cfRule type="cellIs" dxfId="1206" priority="7" stopIfTrue="1" operator="greaterThan">
      <formula>0.75</formula>
    </cfRule>
    <cfRule type="cellIs" dxfId="1205" priority="6" stopIfTrue="1" operator="between">
      <formula>0.5</formula>
      <formula>0.75</formula>
    </cfRule>
    <cfRule type="cellIs" dxfId="1204" priority="5" stopIfTrue="1" operator="lessThan">
      <formula>0.5</formula>
    </cfRule>
    <cfRule type="cellIs" dxfId="1203" priority="4" stopIfTrue="1" operator="greaterThan">
      <formula>0.75</formula>
    </cfRule>
    <cfRule type="cellIs" dxfId="1202" priority="3" stopIfTrue="1" operator="between">
      <formula>0.5</formula>
      <formula>0.75</formula>
    </cfRule>
    <cfRule type="cellIs" dxfId="1201" priority="2" stopIfTrue="1" operator="lessThan">
      <formula>0.5</formula>
    </cfRule>
  </conditionalFormatting>
  <conditionalFormatting sqref="G10:G19">
    <cfRule type="containsText" dxfId="1200" priority="8" stopIfTrue="1" operator="containsText" text="RED FLAG">
      <formula>NOT(ISERROR(SEARCH("RED FLAG",G10)))</formula>
    </cfRule>
  </conditionalFormatting>
  <conditionalFormatting sqref="G12">
    <cfRule type="cellIs" dxfId="1199" priority="248" stopIfTrue="1" operator="greaterThan">
      <formula>0.75</formula>
    </cfRule>
    <cfRule type="cellIs" dxfId="1198" priority="246" stopIfTrue="1" operator="lessThan">
      <formula>0.5</formula>
    </cfRule>
    <cfRule type="cellIs" dxfId="1197" priority="247" stopIfTrue="1" operator="between">
      <formula>0.5</formula>
      <formula>0.75</formula>
    </cfRule>
  </conditionalFormatting>
  <conditionalFormatting sqref="G14:G16 G21:G25 G27:G34 G36:G39 G42:G44 G50 G52:G57 G63:G67">
    <cfRule type="cellIs" dxfId="1196" priority="24" stopIfTrue="1" operator="between">
      <formula>0.5</formula>
      <formula>0.75</formula>
    </cfRule>
    <cfRule type="cellIs" dxfId="1195" priority="25" stopIfTrue="1" operator="greaterThan">
      <formula>0.75</formula>
    </cfRule>
  </conditionalFormatting>
  <conditionalFormatting sqref="G18">
    <cfRule type="cellIs" dxfId="1194" priority="434" stopIfTrue="1" operator="greaterThan">
      <formula>0.75</formula>
    </cfRule>
    <cfRule type="cellIs" dxfId="1193" priority="432" stopIfTrue="1" operator="lessThan">
      <formula>0.5</formula>
    </cfRule>
    <cfRule type="cellIs" dxfId="1192" priority="433" stopIfTrue="1" operator="between">
      <formula>0.5</formula>
      <formula>0.75</formula>
    </cfRule>
  </conditionalFormatting>
  <conditionalFormatting sqref="G21:G25 G27:G34 G36:G39 G41:G44 G46:G59 G63:G1048576">
    <cfRule type="containsText" dxfId="1191" priority="22" stopIfTrue="1" operator="containsText" text="RED FLAG">
      <formula>NOT(ISERROR(SEARCH("RED FLAG",G21)))</formula>
    </cfRule>
  </conditionalFormatting>
  <conditionalFormatting sqref="G21:G25 G27:G34 G36:G39 G42:G44 G50 G52:G57 G63:G67 G14:G16">
    <cfRule type="cellIs" dxfId="1190" priority="23" stopIfTrue="1" operator="lessThan">
      <formula>0.5</formula>
    </cfRule>
  </conditionalFormatting>
  <conditionalFormatting sqref="G41:G42">
    <cfRule type="cellIs" dxfId="1189" priority="105" stopIfTrue="1" operator="lessThan">
      <formula>0.5</formula>
    </cfRule>
    <cfRule type="cellIs" dxfId="1188" priority="106" stopIfTrue="1" operator="between">
      <formula>0.5</formula>
      <formula>0.75</formula>
    </cfRule>
    <cfRule type="cellIs" dxfId="1187" priority="107" stopIfTrue="1" operator="greaterThan">
      <formula>0.75</formula>
    </cfRule>
  </conditionalFormatting>
  <conditionalFormatting sqref="G47">
    <cfRule type="cellIs" dxfId="1185" priority="429" stopIfTrue="1" operator="lessThan">
      <formula>0.5</formula>
    </cfRule>
    <cfRule type="cellIs" dxfId="1184" priority="430" stopIfTrue="1" operator="between">
      <formula>0.5</formula>
      <formula>0.75</formula>
    </cfRule>
    <cfRule type="cellIs" dxfId="1183" priority="431" stopIfTrue="1" operator="greaterThan">
      <formula>0.75</formula>
    </cfRule>
  </conditionalFormatting>
  <conditionalFormatting sqref="G59 G61">
    <cfRule type="cellIs" dxfId="1182" priority="424" stopIfTrue="1" operator="between">
      <formula>0.5</formula>
      <formula>0.75</formula>
    </cfRule>
    <cfRule type="cellIs" dxfId="1181" priority="425" stopIfTrue="1" operator="greaterThan">
      <formula>0.75</formula>
    </cfRule>
  </conditionalFormatting>
  <conditionalFormatting sqref="G61 G59">
    <cfRule type="cellIs" dxfId="1180" priority="423" stopIfTrue="1" operator="lessThan">
      <formula>0.5</formula>
    </cfRule>
  </conditionalFormatting>
  <conditionalFormatting sqref="G61">
    <cfRule type="containsText" dxfId="1179" priority="407" stopIfTrue="1" operator="containsText" text="RED FLAG">
      <formula>NOT(ISERROR(SEARCH("RED FLAG",G61)))</formula>
    </cfRule>
  </conditionalFormatting>
  <conditionalFormatting sqref="I6">
    <cfRule type="containsText" dxfId="1178" priority="34" operator="containsText" text="Training Opportunity">
      <formula>NOT(ISERROR(SEARCH("Training Opportunity",I6)))</formula>
    </cfRule>
  </conditionalFormatting>
  <conditionalFormatting sqref="I12">
    <cfRule type="containsText" dxfId="1177" priority="40" operator="containsText" text="Training Opportunity">
      <formula>NOT(ISERROR(SEARCH("Training Opportunity",I12)))</formula>
    </cfRule>
  </conditionalFormatting>
  <conditionalFormatting sqref="I22:I23">
    <cfRule type="containsText" dxfId="1176" priority="45" operator="containsText" text="System Flag">
      <formula>NOT(ISERROR(SEARCH("System Flag",I22)))</formula>
    </cfRule>
  </conditionalFormatting>
  <conditionalFormatting sqref="I39">
    <cfRule type="containsText" dxfId="1175" priority="1" operator="containsText" text="Training Opportunity">
      <formula>NOT(ISERROR(SEARCH("Training Opportunity",I39)))</formula>
    </cfRule>
  </conditionalFormatting>
  <conditionalFormatting sqref="I41:I42">
    <cfRule type="containsText" dxfId="1174" priority="50" stopIfTrue="1" operator="containsText" text="RED FLAG">
      <formula>NOT(ISERROR(SEARCH("RED FLAG",I41)))</formula>
    </cfRule>
    <cfRule type="cellIs" dxfId="1173" priority="51" stopIfTrue="1" operator="lessThan">
      <formula>0.5</formula>
    </cfRule>
    <cfRule type="cellIs" dxfId="1172" priority="52" stopIfTrue="1" operator="between">
      <formula>0.5</formula>
      <formula>0.75</formula>
    </cfRule>
    <cfRule type="cellIs" dxfId="1171" priority="53" stopIfTrue="1" operator="greaterThan">
      <formula>0.75</formula>
    </cfRule>
  </conditionalFormatting>
  <conditionalFormatting sqref="I47">
    <cfRule type="containsText" dxfId="1170" priority="44" operator="containsText" text="System Flag">
      <formula>NOT(ISERROR(SEARCH("System Flag",I47)))</formula>
    </cfRule>
  </conditionalFormatting>
  <conditionalFormatting sqref="I57">
    <cfRule type="containsText" dxfId="1169" priority="41" operator="containsText" text="System Flag">
      <formula>NOT(ISERROR(SEARCH("System Flag",I57)))</formula>
    </cfRule>
  </conditionalFormatting>
  <conditionalFormatting sqref="I65">
    <cfRule type="containsText" dxfId="1168" priority="42" operator="containsText" text="Training Opportunity">
      <formula>NOT(ISERROR(SEARCH("Training Opportunity",I65)))</formula>
    </cfRule>
  </conditionalFormatting>
  <dataValidations count="7">
    <dataValidation type="list" allowBlank="1" showInputMessage="1" showErrorMessage="1" sqref="C59 C61" xr:uid="{00000000-0002-0000-0800-000000000000}">
      <formula1>"None,1,2,3"</formula1>
    </dataValidation>
    <dataValidation type="list" allowBlank="1" showInputMessage="1" showErrorMessage="1" sqref="C8 C47" xr:uid="{00000000-0002-0000-0800-000001000000}">
      <formula1>"1,2,3,4"</formula1>
    </dataValidation>
    <dataValidation type="list" allowBlank="1" showInputMessage="1" showErrorMessage="1" sqref="C10 C39 C65 C18 C12 C6" xr:uid="{00000000-0002-0000-0800-000002000000}">
      <formula1>"1,2,3"</formula1>
    </dataValidation>
    <dataValidation type="list" allowBlank="1" showInputMessage="1" showErrorMessage="1" sqref="C14:C15 C50 C37:C38 C63:C64 C67 C22:C25 C52:C56 C3:C5 C41:C43" xr:uid="{00000000-0002-0000-0800-000003000000}">
      <formula1>"Yes,No"</formula1>
    </dataValidation>
    <dataValidation type="list" allowBlank="1" showInputMessage="1" showErrorMessage="1" sqref="C57" xr:uid="{00000000-0002-0000-0800-000004000000}">
      <formula1>"1,2,3,NA"</formula1>
    </dataValidation>
    <dataValidation type="list" allowBlank="1" showInputMessage="1" showErrorMessage="1" sqref="C16" xr:uid="{00000000-0002-0000-0800-000005000000}">
      <formula1>"1,2"</formula1>
    </dataValidation>
    <dataValidation type="list" allowBlank="1" showInputMessage="1" showErrorMessage="1" sqref="C27:C34 C44" xr:uid="{00000000-0002-0000-0800-000006000000}">
      <formula1>"Yes,No,NA"</formula1>
    </dataValidation>
  </dataValidations>
  <pageMargins left="0.25" right="0.25" top="0.75000000000000011" bottom="0.75000000000000011" header="0.30000000000000004" footer="0.30000000000000004"/>
  <pageSetup paperSize="9" scale="94" fitToHeight="3" orientation="landscape" r:id="rId1"/>
  <headerFooter>
    <oddFooter>&amp;C&amp;A -&amp;P</oddFooter>
  </headerFooter>
  <rowBreaks count="2" manualBreakCount="2">
    <brk id="25" max="7" man="1"/>
    <brk id="45" max="4" man="1"/>
  </rowBreaks>
  <extLst>
    <ext xmlns:x14="http://schemas.microsoft.com/office/spreadsheetml/2009/9/main" uri="{78C0D931-6437-407d-A8EE-F0AAD7539E65}">
      <x14:conditionalFormattings>
        <x14:conditionalFormatting xmlns:xm="http://schemas.microsoft.com/office/excel/2006/main">
          <x14:cfRule type="containsText" priority="94" stopIfTrue="1" operator="containsText" text="RED FLAG" id="{797EB4E3-901F-4BB2-B2CF-62FF73E25CE9}">
            <xm:f>NOT(ISERROR(SEARCH("RED FLAG",'ID QC 6'!G57)))</xm:f>
            <x14:dxf>
              <font>
                <color rgb="FF9C0006"/>
              </font>
              <fill>
                <patternFill>
                  <bgColor rgb="FFFFC7CE"/>
                </patternFill>
              </fill>
            </x14:dxf>
          </x14:cfRule>
          <xm:sqref>G45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0070C0"/>
    <pageSetUpPr fitToPage="1"/>
  </sheetPr>
  <dimension ref="A1:K87"/>
  <sheetViews>
    <sheetView zoomScaleNormal="100" zoomScaleSheetLayoutView="10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1" customWidth="1"/>
    <col min="9" max="9" width="9.69921875" style="22" customWidth="1"/>
    <col min="10" max="10" width="11" style="194"/>
    <col min="11" max="16384" width="11" style="22"/>
  </cols>
  <sheetData>
    <row r="1" spans="1:11">
      <c r="A1" s="10"/>
      <c r="B1" s="43" t="str">
        <f>Language!A885</f>
        <v>5- MEDIA PREPARATION AND QUALITY CONTROL</v>
      </c>
      <c r="C1" s="51" t="str">
        <f>IF(COUNT(G4:G97)=0,"???",AVERAGE(G4:G97))</f>
        <v>???</v>
      </c>
      <c r="H1" s="192" t="str">
        <f>'Facility 1'!H1</f>
        <v>Comments</v>
      </c>
    </row>
    <row r="2" spans="1:11" ht="16.2" thickBot="1">
      <c r="A2" s="16"/>
      <c r="B2" s="444"/>
      <c r="C2" s="227"/>
      <c r="D2" s="487"/>
      <c r="E2" s="194"/>
      <c r="F2" s="194"/>
      <c r="G2" s="194"/>
      <c r="H2" s="444"/>
      <c r="K2" s="194"/>
    </row>
    <row r="3" spans="1:11" ht="16.2" thickBot="1">
      <c r="A3" s="160"/>
      <c r="B3" s="83" t="str">
        <f>Language!A886</f>
        <v>MEDIA PREPARATION SOPs</v>
      </c>
      <c r="C3" s="72" t="str">
        <f>IF(COUNTBLANK(C4:C17)=14,"???",IF(COUNT(G4:G17)=0,"NA",AVERAGE(G4:G17)))</f>
        <v>???</v>
      </c>
      <c r="F3" s="29"/>
      <c r="G3" s="18"/>
      <c r="H3" s="427"/>
    </row>
    <row r="4" spans="1:11">
      <c r="A4" s="10" t="s">
        <v>5827</v>
      </c>
      <c r="B4" s="20" t="str">
        <f>Language!A887</f>
        <v xml:space="preserve">Are  media-specific SOPs in place for each type of media reconstituted in house? </v>
      </c>
      <c r="C4" s="27"/>
      <c r="F4" s="29">
        <f>C4</f>
        <v>0</v>
      </c>
      <c r="G4" s="18" t="str">
        <f t="shared" ref="G4:G17" si="0">IF(F4="Yes",1,IF(F4="No",0,"'"))</f>
        <v>'</v>
      </c>
      <c r="H4" s="430"/>
      <c r="I4" s="502"/>
    </row>
    <row r="5" spans="1:11">
      <c r="A5" s="10"/>
      <c r="B5" s="8" t="str">
        <f>Language!A888</f>
        <v>Do all media preparation records including the following?</v>
      </c>
      <c r="C5" s="22"/>
      <c r="F5" s="22"/>
      <c r="H5" s="63"/>
      <c r="I5" s="63"/>
    </row>
    <row r="6" spans="1:11">
      <c r="A6" s="10" t="s">
        <v>5828</v>
      </c>
      <c r="B6" s="37" t="str">
        <f>Language!A889</f>
        <v>Name of media</v>
      </c>
      <c r="C6" s="27"/>
      <c r="F6" s="29">
        <f t="shared" ref="F6:F12" si="1">C6</f>
        <v>0</v>
      </c>
      <c r="G6" s="18" t="str">
        <f t="shared" si="0"/>
        <v>'</v>
      </c>
      <c r="H6" s="430"/>
    </row>
    <row r="7" spans="1:11">
      <c r="A7" s="10" t="s">
        <v>5829</v>
      </c>
      <c r="B7" s="37" t="str">
        <f>Language!A890</f>
        <v>Date of preparation</v>
      </c>
      <c r="C7" s="27"/>
      <c r="F7" s="29">
        <f t="shared" si="1"/>
        <v>0</v>
      </c>
      <c r="G7" s="18" t="str">
        <f t="shared" si="0"/>
        <v>'</v>
      </c>
      <c r="H7" s="430"/>
    </row>
    <row r="8" spans="1:11">
      <c r="A8" s="10" t="s">
        <v>5830</v>
      </c>
      <c r="B8" s="37" t="str">
        <f>Language!A891</f>
        <v>Batch number</v>
      </c>
      <c r="C8" s="27"/>
      <c r="F8" s="29">
        <f t="shared" si="1"/>
        <v>0</v>
      </c>
      <c r="G8" s="18" t="str">
        <f t="shared" si="0"/>
        <v>'</v>
      </c>
      <c r="H8" s="430"/>
    </row>
    <row r="9" spans="1:11">
      <c r="A9" s="10" t="s">
        <v>5831</v>
      </c>
      <c r="B9" s="37" t="str">
        <f>Language!A892</f>
        <v>Quantity made</v>
      </c>
      <c r="C9" s="27"/>
      <c r="F9" s="29">
        <f t="shared" si="1"/>
        <v>0</v>
      </c>
      <c r="G9" s="18" t="str">
        <f t="shared" si="0"/>
        <v>'</v>
      </c>
      <c r="H9" s="430"/>
    </row>
    <row r="10" spans="1:11">
      <c r="A10" s="10" t="s">
        <v>5832</v>
      </c>
      <c r="B10" s="37" t="str">
        <f>Language!A893</f>
        <v>pH</v>
      </c>
      <c r="C10" s="27"/>
      <c r="F10" s="29">
        <f t="shared" si="1"/>
        <v>0</v>
      </c>
      <c r="G10" s="18" t="str">
        <f t="shared" si="0"/>
        <v>'</v>
      </c>
      <c r="H10" s="430"/>
    </row>
    <row r="11" spans="1:11">
      <c r="A11" s="10" t="s">
        <v>5833</v>
      </c>
      <c r="B11" s="37" t="str">
        <f>Language!A894</f>
        <v>Name of preparer</v>
      </c>
      <c r="C11" s="27"/>
      <c r="F11" s="29">
        <f t="shared" si="1"/>
        <v>0</v>
      </c>
      <c r="G11" s="18" t="str">
        <f t="shared" si="0"/>
        <v>'</v>
      </c>
      <c r="H11" s="430"/>
    </row>
    <row r="12" spans="1:11">
      <c r="A12" s="10" t="s">
        <v>5834</v>
      </c>
      <c r="B12" s="37" t="str">
        <f>Language!A895</f>
        <v>Expiration Date</v>
      </c>
      <c r="C12" s="27"/>
      <c r="F12" s="29">
        <f t="shared" si="1"/>
        <v>0</v>
      </c>
      <c r="G12" s="18" t="str">
        <f t="shared" si="0"/>
        <v>'</v>
      </c>
      <c r="H12" s="430"/>
    </row>
    <row r="13" spans="1:11" ht="27.6" customHeight="1">
      <c r="A13" s="10"/>
      <c r="B13" s="8" t="str">
        <f>Language!A896</f>
        <v>Observe the media reconstituted in house, is each batch clearly labeled with the following?</v>
      </c>
      <c r="C13" s="22"/>
      <c r="F13" s="22"/>
    </row>
    <row r="14" spans="1:11">
      <c r="A14" s="10" t="s">
        <v>5835</v>
      </c>
      <c r="B14" s="37" t="str">
        <f>Language!A897</f>
        <v>Name of media</v>
      </c>
      <c r="C14" s="27"/>
      <c r="F14" s="29">
        <f>C14</f>
        <v>0</v>
      </c>
      <c r="G14" s="18" t="str">
        <f t="shared" si="0"/>
        <v>'</v>
      </c>
      <c r="H14" s="430"/>
    </row>
    <row r="15" spans="1:11">
      <c r="A15" s="10" t="s">
        <v>5836</v>
      </c>
      <c r="B15" s="54" t="str">
        <f>Language!A898</f>
        <v>Date of preparation</v>
      </c>
      <c r="C15" s="27"/>
      <c r="F15" s="29">
        <f>C15</f>
        <v>0</v>
      </c>
      <c r="G15" s="18" t="str">
        <f t="shared" si="0"/>
        <v>'</v>
      </c>
      <c r="H15" s="430"/>
    </row>
    <row r="16" spans="1:11">
      <c r="A16" s="10" t="s">
        <v>5837</v>
      </c>
      <c r="B16" s="37" t="str">
        <f>Language!A899</f>
        <v>Expiration date</v>
      </c>
      <c r="C16" s="27"/>
      <c r="F16" s="29">
        <f>C16</f>
        <v>0</v>
      </c>
      <c r="G16" s="18" t="str">
        <f t="shared" si="0"/>
        <v>'</v>
      </c>
      <c r="H16" s="430"/>
    </row>
    <row r="17" spans="1:10" ht="16.2" thickBot="1">
      <c r="A17" s="10" t="s">
        <v>5838</v>
      </c>
      <c r="B17" s="37" t="str">
        <f>Language!A900</f>
        <v>Date opened</v>
      </c>
      <c r="C17" s="27"/>
      <c r="F17" s="29">
        <f>C17</f>
        <v>0</v>
      </c>
      <c r="G17" s="18" t="str">
        <f t="shared" si="0"/>
        <v>'</v>
      </c>
      <c r="H17" s="430"/>
    </row>
    <row r="18" spans="1:10" ht="16.2" thickBot="1">
      <c r="A18" s="160"/>
      <c r="B18" s="83" t="str">
        <f>Language!A901</f>
        <v xml:space="preserve">GENERAL MEDIA PREPARATION </v>
      </c>
      <c r="C18" s="72" t="str">
        <f>IF(COUNTBLANK(C19:C29)=11,"???",IF(COUNT(G19:G29)=0,"NA",AVERAGE(G19:G29)))</f>
        <v>???</v>
      </c>
      <c r="F18" s="63"/>
      <c r="G18" s="18"/>
      <c r="H18" s="427"/>
    </row>
    <row r="19" spans="1:10" ht="27.6" customHeight="1">
      <c r="A19" s="76" t="s">
        <v>5839</v>
      </c>
      <c r="B19" s="71" t="str">
        <f>Language!A902</f>
        <v>Is media prepared in a separate room, apart from the room where specimens and cultures are processed?</v>
      </c>
      <c r="C19" s="432"/>
      <c r="F19" s="23">
        <f t="shared" ref="F19:F25" si="2">C19</f>
        <v>0</v>
      </c>
      <c r="G19" s="18" t="str">
        <f t="shared" ref="G19:G24" si="3">IF(F19="Yes",1,IF(F19="No",0,"'"))</f>
        <v>'</v>
      </c>
      <c r="H19" s="431"/>
    </row>
    <row r="20" spans="1:10">
      <c r="A20" s="76" t="s">
        <v>5840</v>
      </c>
      <c r="B20" s="71" t="str">
        <f>Language!A903</f>
        <v>Is media prepared in a clean room?</v>
      </c>
      <c r="C20" s="432"/>
      <c r="F20" s="23">
        <f t="shared" si="2"/>
        <v>0</v>
      </c>
      <c r="G20" s="18" t="str">
        <f t="shared" si="3"/>
        <v>'</v>
      </c>
      <c r="H20" s="431"/>
    </row>
    <row r="21" spans="1:10">
      <c r="A21" s="76" t="s">
        <v>5841</v>
      </c>
      <c r="B21" s="8" t="str">
        <f>Language!A904</f>
        <v>Is deionized water (DI) or distilled water used to prepare all media?</v>
      </c>
      <c r="C21" s="432"/>
      <c r="F21" s="23">
        <f t="shared" si="2"/>
        <v>0</v>
      </c>
      <c r="G21" s="18" t="str">
        <f t="shared" si="3"/>
        <v>'</v>
      </c>
      <c r="H21" s="431"/>
      <c r="I21" s="63"/>
    </row>
    <row r="22" spans="1:10">
      <c r="A22" s="76" t="s">
        <v>5842</v>
      </c>
      <c r="B22" s="8" t="str">
        <f>Language!A905</f>
        <v>Are the media suspensions mixed with a magnetic stir bar while boiling?</v>
      </c>
      <c r="C22" s="432"/>
      <c r="F22" s="23">
        <f t="shared" si="2"/>
        <v>0</v>
      </c>
      <c r="G22" s="18" t="str">
        <f t="shared" si="3"/>
        <v>'</v>
      </c>
      <c r="H22" s="429"/>
    </row>
    <row r="23" spans="1:10">
      <c r="A23" s="76" t="s">
        <v>5843</v>
      </c>
      <c r="B23" s="13" t="str">
        <f>Language!A906</f>
        <v>Is the dissolved suspension autoclaved in a clean autoclave at 15 psi, 121°C, for &gt;15 minutes?</v>
      </c>
      <c r="C23" s="432"/>
      <c r="F23" s="23">
        <f t="shared" si="2"/>
        <v>0</v>
      </c>
      <c r="G23" s="18" t="str">
        <f t="shared" si="3"/>
        <v>'</v>
      </c>
      <c r="H23" s="429"/>
    </row>
    <row r="24" spans="1:10" ht="27.6" customHeight="1">
      <c r="A24" s="76" t="s">
        <v>5844</v>
      </c>
      <c r="B24" s="8" t="str">
        <f>Language!A907</f>
        <v>Is the autoclaved suspension cooled to 45-50°C before adding additional compounds (e.g., blood)?</v>
      </c>
      <c r="C24" s="432"/>
      <c r="F24" s="23">
        <f t="shared" si="2"/>
        <v>0</v>
      </c>
      <c r="G24" s="18" t="str">
        <f t="shared" si="3"/>
        <v>'</v>
      </c>
      <c r="H24" s="429"/>
    </row>
    <row r="25" spans="1:10">
      <c r="A25" s="76" t="s">
        <v>5845</v>
      </c>
      <c r="B25" s="13" t="str">
        <f>Language!A908</f>
        <v>What is the source of the blood used to make the blood agar, chocolate, and/or MHB plates?</v>
      </c>
      <c r="C25" s="46"/>
      <c r="F25" s="29">
        <f t="shared" si="2"/>
        <v>0</v>
      </c>
      <c r="G25" s="18" t="str">
        <f>IF(F25=1,1,IF(F25=2,0,IF(F25=3,0,"'")))</f>
        <v>'</v>
      </c>
      <c r="H25" s="433"/>
      <c r="I25" s="489"/>
      <c r="J25" s="489"/>
    </row>
    <row r="26" spans="1:10" ht="27.6" customHeight="1">
      <c r="A26" s="10"/>
      <c r="B26" s="439" t="str">
        <f>Language!A909</f>
        <v xml:space="preserve">1: Sheep’s blood - 2: Human blood (e.g., from expired packed cells) - 3: Other source (please describe in comments) </v>
      </c>
      <c r="F26" s="90"/>
      <c r="H26" s="176"/>
    </row>
    <row r="27" spans="1:10">
      <c r="A27" s="76" t="s">
        <v>5846</v>
      </c>
      <c r="B27" s="8" t="str">
        <f>Language!A910</f>
        <v xml:space="preserve">Is the pH recorded for all media prepared in house? </v>
      </c>
      <c r="C27" s="432"/>
      <c r="F27" s="29">
        <f>C27</f>
        <v>0</v>
      </c>
      <c r="G27" s="18" t="str">
        <f t="shared" ref="G27:G29" si="4">IF(F27="Yes",1,IF(F27="No",0,"'"))</f>
        <v>'</v>
      </c>
      <c r="H27" s="429"/>
    </row>
    <row r="28" spans="1:10">
      <c r="A28" s="76" t="s">
        <v>5847</v>
      </c>
      <c r="B28" s="8" t="str">
        <f>Language!A911</f>
        <v>Is all prepared media stored at 2-8°C until use?</v>
      </c>
      <c r="C28" s="46"/>
      <c r="F28" s="29">
        <f>C28</f>
        <v>0</v>
      </c>
      <c r="G28" s="18" t="str">
        <f t="shared" si="4"/>
        <v>'</v>
      </c>
      <c r="H28" s="433"/>
    </row>
    <row r="29" spans="1:10" ht="16.2" thickBot="1">
      <c r="A29" s="76" t="s">
        <v>5848</v>
      </c>
      <c r="B29" s="20" t="str">
        <f>Language!A912</f>
        <v>Are plates stored inside bags/sleeves to avoid dehydration?</v>
      </c>
      <c r="C29" s="46"/>
      <c r="F29" s="29">
        <f>C29</f>
        <v>0</v>
      </c>
      <c r="G29" s="18" t="str">
        <f t="shared" si="4"/>
        <v>'</v>
      </c>
      <c r="H29" s="433"/>
    </row>
    <row r="30" spans="1:10" ht="16.2" thickBot="1">
      <c r="A30" s="160"/>
      <c r="B30" s="83" t="str">
        <f>Language!A913</f>
        <v xml:space="preserve">DISTILLED/DEIONIZED WATER PREPARATION </v>
      </c>
      <c r="C30" s="72" t="str">
        <f>IF(COUNTBLANK(C32:C35)=4,"???",IF(COUNT(G32:G35)=0,"NA",AVERAGE(G32:G35)))</f>
        <v>???</v>
      </c>
      <c r="F30" s="29"/>
      <c r="G30" s="18"/>
      <c r="H30" s="427"/>
    </row>
    <row r="31" spans="1:10" ht="27.6" customHeight="1">
      <c r="A31" s="10"/>
      <c r="B31" s="20" t="str">
        <f>Language!A914</f>
        <v xml:space="preserve">If the lab or facility produces it's own distilled or deionized water, are QC records present for the following? </v>
      </c>
      <c r="C31" s="22"/>
      <c r="F31" s="29"/>
      <c r="G31" s="18"/>
      <c r="H31" s="501"/>
      <c r="I31" s="63"/>
    </row>
    <row r="32" spans="1:10">
      <c r="A32" s="76" t="s">
        <v>5849</v>
      </c>
      <c r="B32" s="178" t="str">
        <f>Language!A915</f>
        <v>Conductimetry</v>
      </c>
      <c r="C32" s="423"/>
      <c r="F32" s="29">
        <f>C32</f>
        <v>0</v>
      </c>
      <c r="G32" s="18" t="str">
        <f t="shared" ref="G32:G35" si="5">IF(F32="Yes",1,IF(F32="No",0,"'"))</f>
        <v>'</v>
      </c>
      <c r="H32" s="431"/>
    </row>
    <row r="33" spans="1:10">
      <c r="A33" s="76" t="s">
        <v>5850</v>
      </c>
      <c r="B33" s="178" t="str">
        <f>Language!A916</f>
        <v>pH</v>
      </c>
      <c r="C33" s="423"/>
      <c r="F33" s="29">
        <f>C33</f>
        <v>0</v>
      </c>
      <c r="G33" s="18" t="str">
        <f t="shared" si="5"/>
        <v>'</v>
      </c>
      <c r="H33" s="431"/>
    </row>
    <row r="34" spans="1:10">
      <c r="A34" s="76" t="s">
        <v>5851</v>
      </c>
      <c r="B34" s="178" t="str">
        <f>Language!A917</f>
        <v>Sterility</v>
      </c>
      <c r="C34" s="423"/>
      <c r="F34" s="29">
        <f>C34</f>
        <v>0</v>
      </c>
      <c r="G34" s="18" t="str">
        <f t="shared" si="5"/>
        <v>'</v>
      </c>
      <c r="H34" s="431"/>
    </row>
    <row r="35" spans="1:10" ht="27.6" customHeight="1" thickBot="1">
      <c r="A35" s="76" t="s">
        <v>5852</v>
      </c>
      <c r="B35" s="20" t="str">
        <f>Language!A918</f>
        <v xml:space="preserve">If the lab purchases distilled or deionized water, does it come with a Certificate of Analysis demonstrating proper pH, sterility and conductimetry? </v>
      </c>
      <c r="C35" s="423"/>
      <c r="F35" s="29">
        <f>C35</f>
        <v>0</v>
      </c>
      <c r="G35" s="18" t="str">
        <f t="shared" si="5"/>
        <v>'</v>
      </c>
      <c r="H35" s="431"/>
      <c r="I35" s="63"/>
    </row>
    <row r="36" spans="1:10" ht="16.2" thickBot="1">
      <c r="A36" s="160"/>
      <c r="B36" s="83" t="str">
        <f>Language!A919</f>
        <v>ROUTINE MEDIA QC</v>
      </c>
      <c r="C36" s="72" t="str">
        <f>IF(COUNTBLANK(C37:C48)=12,"???",IF(COUNT(G37:G48)=0,"NA",AVERAGE(G37:G48)))</f>
        <v>???</v>
      </c>
      <c r="H36" s="427"/>
    </row>
    <row r="37" spans="1:10" ht="27.6" customHeight="1">
      <c r="A37" s="76" t="s">
        <v>5853</v>
      </c>
      <c r="B37" s="8" t="str">
        <f>Language!A920</f>
        <v xml:space="preserve">Are new batches of media checked for sterility by incubating a portion of un-inoculated plates? </v>
      </c>
      <c r="C37" s="27"/>
      <c r="F37" s="29">
        <f>C37</f>
        <v>0</v>
      </c>
      <c r="G37" s="18" t="str">
        <f t="shared" ref="G37" si="6">IF(F37="Yes",1,IF(F37="No",0,"'"))</f>
        <v>'</v>
      </c>
      <c r="H37" s="430"/>
    </row>
    <row r="38" spans="1:10">
      <c r="A38" s="76" t="s">
        <v>5854</v>
      </c>
      <c r="B38" s="8" t="str">
        <f>Language!A921</f>
        <v>Are media quality controlled by using ATCC or ATCC-derivative strains?</v>
      </c>
      <c r="C38" s="27"/>
      <c r="F38" s="29">
        <f>C38</f>
        <v>0</v>
      </c>
      <c r="G38" s="18" t="str">
        <f>IF(F38=1,1,IF(F38=2,0.5,IF(F38=3,0,"'")))</f>
        <v>'</v>
      </c>
      <c r="H38" s="430"/>
    </row>
    <row r="39" spans="1:10">
      <c r="A39" s="10"/>
      <c r="B39" s="439" t="str">
        <f>Language!A922</f>
        <v>1: All - 2: Some - 3: None</v>
      </c>
      <c r="C39" s="22"/>
    </row>
    <row r="40" spans="1:10" ht="27.6" customHeight="1">
      <c r="A40" s="76" t="s">
        <v>5855</v>
      </c>
      <c r="B40" s="8" t="str">
        <f>Language!A923</f>
        <v xml:space="preserve">Do records demonstrate that QC is performed on each newly reconstituted batch or newly received lot number/shipment of media? </v>
      </c>
      <c r="C40" s="27"/>
      <c r="F40" s="29">
        <f t="shared" ref="F40:F48" si="7">C40</f>
        <v>0</v>
      </c>
      <c r="G40" s="18" t="str">
        <f t="shared" ref="G40:G48" si="8">IF(F40="Yes",1,IF(F40="No",0,"'"))</f>
        <v>'</v>
      </c>
      <c r="H40" s="430"/>
      <c r="J40" s="489"/>
    </row>
    <row r="41" spans="1:10" ht="27.6" customHeight="1">
      <c r="A41" s="76" t="s">
        <v>5856</v>
      </c>
      <c r="B41" s="8" t="str">
        <f>Language!A924</f>
        <v xml:space="preserve">Do QC records for blood agar plates (BAP) demonstrate that they are checked for their ability to support growth of fastidious organisms such as Streptococcus pneumoniae? </v>
      </c>
      <c r="C41" s="27"/>
      <c r="F41" s="29">
        <f t="shared" si="7"/>
        <v>0</v>
      </c>
      <c r="G41" s="18" t="str">
        <f t="shared" si="8"/>
        <v>'</v>
      </c>
      <c r="H41" s="430"/>
      <c r="J41" s="489"/>
    </row>
    <row r="42" spans="1:10" ht="27.6" customHeight="1">
      <c r="A42" s="76" t="s">
        <v>5857</v>
      </c>
      <c r="B42" s="20" t="str">
        <f>Language!A925</f>
        <v xml:space="preserve">Do QC records for BAP demonstrate that they are checked for their ability to show alpha, beta, and gamma hemolysis? </v>
      </c>
      <c r="C42" s="27"/>
      <c r="F42" s="29">
        <f t="shared" si="7"/>
        <v>0</v>
      </c>
      <c r="G42" s="18" t="str">
        <f t="shared" si="8"/>
        <v>'</v>
      </c>
      <c r="H42" s="430"/>
      <c r="J42" s="489"/>
    </row>
    <row r="43" spans="1:10" ht="27.6" customHeight="1">
      <c r="A43" s="76" t="s">
        <v>5858</v>
      </c>
      <c r="B43" s="20" t="str">
        <f>Language!A926</f>
        <v>Do QC records for chocolate agar plates demonstrate that they are checked for their ability to support the growth of fastidious organisms, such as Neisseria gonorrhoeae or H. influenzae?</v>
      </c>
      <c r="C43" s="27"/>
      <c r="F43" s="29">
        <f t="shared" si="7"/>
        <v>0</v>
      </c>
      <c r="G43" s="18" t="str">
        <f t="shared" si="8"/>
        <v>'</v>
      </c>
      <c r="H43" s="430"/>
      <c r="J43" s="489"/>
    </row>
    <row r="44" spans="1:10" ht="55.2" customHeight="1">
      <c r="A44" s="76" t="s">
        <v>5859</v>
      </c>
      <c r="B44" s="20" t="str">
        <f>Language!A927</f>
        <v>MacConkey (MAC) and Eosin methylene blue (EMB) agars contain bile salts and/or dyes that are toxic for gram-positive bacteria when made properly. Do QC records for MAC and/or EMB plates demonstrate that each batch/lot is challenged using a gram-positive organism?</v>
      </c>
      <c r="C44" s="27"/>
      <c r="F44" s="29">
        <f t="shared" si="7"/>
        <v>0</v>
      </c>
      <c r="G44" s="18" t="str">
        <f t="shared" si="8"/>
        <v>'</v>
      </c>
      <c r="H44" s="430"/>
      <c r="J44" s="489"/>
    </row>
    <row r="45" spans="1:10" ht="55.2" customHeight="1">
      <c r="A45" s="76" t="s">
        <v>5860</v>
      </c>
      <c r="B45" s="20" t="str">
        <f>Language!A928</f>
        <v>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v>
      </c>
      <c r="C45" s="27"/>
      <c r="F45" s="29">
        <f t="shared" si="7"/>
        <v>0</v>
      </c>
      <c r="G45" s="18" t="str">
        <f t="shared" si="8"/>
        <v>'</v>
      </c>
      <c r="H45" s="430"/>
      <c r="J45" s="489"/>
    </row>
    <row r="46" spans="1:10" ht="27.6" customHeight="1">
      <c r="A46" s="76" t="s">
        <v>5861</v>
      </c>
      <c r="B46" s="20" t="str">
        <f>Language!A929</f>
        <v>Do QC records for selective stool agar plates (e.g. XLD, SS, HE) demonstrate that they are checked for their ability to suppress the growth of Gram positive organisms?</v>
      </c>
      <c r="C46" s="27"/>
      <c r="F46" s="29">
        <f t="shared" si="7"/>
        <v>0</v>
      </c>
      <c r="G46" s="18" t="str">
        <f t="shared" si="8"/>
        <v>'</v>
      </c>
      <c r="H46" s="430"/>
      <c r="J46" s="489"/>
    </row>
    <row r="47" spans="1:10" ht="41.55" customHeight="1">
      <c r="A47" s="76" t="s">
        <v>5862</v>
      </c>
      <c r="B47" s="20" t="str">
        <f>Language!A930</f>
        <v>Do QC records for selective stool agar plates demonstrate that they are checked for their ability to make hydrogen sulfide (H2S) production visible using a H2S producing organism, such as Salmonella spp or Proteus vulgaris?</v>
      </c>
      <c r="C47" s="27"/>
      <c r="F47" s="29">
        <f t="shared" si="7"/>
        <v>0</v>
      </c>
      <c r="G47" s="18" t="str">
        <f t="shared" si="8"/>
        <v>'</v>
      </c>
      <c r="H47" s="430"/>
      <c r="J47" s="489"/>
    </row>
    <row r="48" spans="1:10" ht="41.55" customHeight="1">
      <c r="A48" s="76" t="s">
        <v>5863</v>
      </c>
      <c r="B48" s="20" t="str">
        <f>Language!A931</f>
        <v>Do QC records for selective stool agar plates demonstrate that they are checked for their ability to make the acid byproducts of carbohydrate fermentation visible using both fermenters and nonfermenters?</v>
      </c>
      <c r="C48" s="27"/>
      <c r="F48" s="29">
        <f t="shared" si="7"/>
        <v>0</v>
      </c>
      <c r="G48" s="18" t="str">
        <f t="shared" si="8"/>
        <v>'</v>
      </c>
      <c r="H48" s="430"/>
      <c r="J48" s="489"/>
    </row>
    <row r="49" spans="1:10" ht="27.6" customHeight="1">
      <c r="A49" s="10"/>
      <c r="B49" s="628" t="str">
        <f>Language!A932</f>
        <v>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v>
      </c>
      <c r="C49" s="629"/>
      <c r="D49" s="629"/>
      <c r="E49" s="629"/>
      <c r="F49" s="629"/>
      <c r="G49" s="629"/>
      <c r="H49" s="629"/>
      <c r="I49" s="13"/>
    </row>
    <row r="50" spans="1:10" ht="16.2" thickBot="1">
      <c r="A50" s="10"/>
      <c r="B50" s="48"/>
      <c r="C50" s="22"/>
      <c r="F50" s="29"/>
      <c r="G50" s="18"/>
    </row>
    <row r="51" spans="1:10" ht="16.2" thickBot="1">
      <c r="A51" s="160"/>
      <c r="B51" s="83" t="str">
        <f>Language!A933</f>
        <v>MULLER HINTON MEDIA PREPARATION AND QC</v>
      </c>
      <c r="C51" s="72" t="str">
        <f>IF(COUNTBLANK(C53:C65)=13,"???",IF(COUNT(G53:G65)=0,"NA",AVERAGE(G53:G65)))</f>
        <v>???</v>
      </c>
      <c r="F51" s="29"/>
      <c r="G51" s="18"/>
      <c r="H51" s="427"/>
    </row>
    <row r="52" spans="1:10">
      <c r="A52" s="10"/>
      <c r="B52" s="8" t="str">
        <f>Language!A934</f>
        <v>Examine the lab’s Mueller Hinton plates and SOP for the following:</v>
      </c>
      <c r="C52" s="22"/>
      <c r="F52" s="22"/>
    </row>
    <row r="53" spans="1:10" ht="27.6" customHeight="1">
      <c r="A53" s="76" t="s">
        <v>5864</v>
      </c>
      <c r="B53" s="37" t="str">
        <f>Language!A935</f>
        <v>Does the dehydrated Mueller Hinton Agar (dHMA) meet ISO 16782 (CLSI M6) standards? (Low thymine/thymidine content, not supplemented with Mg++ or Ca++ cations)</v>
      </c>
      <c r="C53" s="27"/>
      <c r="F53" s="29">
        <f t="shared" ref="F53:F61" si="9">C53</f>
        <v>0</v>
      </c>
      <c r="G53" s="18" t="str">
        <f t="shared" ref="G53" si="10">IF(F53="Yes",1,IF(F53="No",0,"'"))</f>
        <v>'</v>
      </c>
      <c r="H53" s="433"/>
    </row>
    <row r="54" spans="1:10">
      <c r="A54" s="76" t="s">
        <v>5865</v>
      </c>
      <c r="B54" s="37" t="str">
        <f>Language!A936</f>
        <v>Does the lab add calcium or magnesium cations to dMHA?</v>
      </c>
      <c r="C54" s="27"/>
      <c r="F54" s="29">
        <f t="shared" si="9"/>
        <v>0</v>
      </c>
      <c r="G54" s="18" t="str">
        <f>IF(F54="No",1,IF(F54="Yes",0,"'"))</f>
        <v>'</v>
      </c>
      <c r="H54" s="430"/>
    </row>
    <row r="55" spans="1:10" ht="27.6" customHeight="1">
      <c r="A55" s="76" t="s">
        <v>5866</v>
      </c>
      <c r="B55" s="37" t="str">
        <f>Language!A937</f>
        <v>Immediately after autoclaving, is agar allowed to cool in a 45° - 50°C water bath?</v>
      </c>
      <c r="C55" s="27"/>
      <c r="F55" s="29">
        <f t="shared" si="9"/>
        <v>0</v>
      </c>
      <c r="G55" s="18" t="str">
        <f t="shared" ref="G55:G61" si="11">IF(F55="Yes",1,IF(F55="No",0,"'"))</f>
        <v>'</v>
      </c>
      <c r="H55" s="430"/>
    </row>
    <row r="56" spans="1:10" ht="27.6" customHeight="1">
      <c r="A56" s="76" t="s">
        <v>5867</v>
      </c>
      <c r="B56" s="37" t="str">
        <f>Language!A938</f>
        <v>Do plates have a uniform depth of approximately 4mm? Verify by examining a recent batch.</v>
      </c>
      <c r="C56" s="27"/>
      <c r="F56" s="29">
        <f t="shared" si="9"/>
        <v>0</v>
      </c>
      <c r="G56" s="18" t="str">
        <f t="shared" si="11"/>
        <v>'</v>
      </c>
      <c r="H56" s="433"/>
    </row>
    <row r="57" spans="1:10">
      <c r="A57" s="76" t="s">
        <v>5868</v>
      </c>
      <c r="B57" s="37" t="str">
        <f>Language!A939</f>
        <v>Are plates poured on a level surface?</v>
      </c>
      <c r="C57" s="27"/>
      <c r="F57" s="29">
        <f t="shared" si="9"/>
        <v>0</v>
      </c>
      <c r="G57" s="18" t="str">
        <f t="shared" si="11"/>
        <v>'</v>
      </c>
      <c r="H57" s="433"/>
    </row>
    <row r="58" spans="1:10">
      <c r="A58" s="76" t="s">
        <v>5869</v>
      </c>
      <c r="B58" s="37" t="str">
        <f>Language!A940</f>
        <v>Do records demonstrate that pH is 7.2 – 7.4 for each batch?</v>
      </c>
      <c r="C58" s="27"/>
      <c r="F58" s="29">
        <f t="shared" si="9"/>
        <v>0</v>
      </c>
      <c r="G58" s="18" t="str">
        <f t="shared" si="11"/>
        <v>'</v>
      </c>
      <c r="H58" s="433"/>
    </row>
    <row r="59" spans="1:10" ht="27.6" customHeight="1">
      <c r="A59" s="76" t="s">
        <v>5870</v>
      </c>
      <c r="B59" s="37" t="str">
        <f>Language!A941</f>
        <v>Do records indicate that sterility is checked for each batch? (By incubating a portion of un-inoculated plates, ideally 5%)</v>
      </c>
      <c r="C59" s="27"/>
      <c r="F59" s="29">
        <f t="shared" si="9"/>
        <v>0</v>
      </c>
      <c r="G59" s="18" t="str">
        <f t="shared" si="11"/>
        <v>'</v>
      </c>
      <c r="H59" s="433"/>
    </row>
    <row r="60" spans="1:10">
      <c r="A60" s="76" t="s">
        <v>5871</v>
      </c>
      <c r="B60" s="37" t="str">
        <f>Language!A942</f>
        <v>Are plates stored at 2-8°C until use?</v>
      </c>
      <c r="C60" s="27"/>
      <c r="F60" s="29">
        <f t="shared" si="9"/>
        <v>0</v>
      </c>
      <c r="G60" s="18" t="str">
        <f t="shared" si="11"/>
        <v>'</v>
      </c>
      <c r="H60" s="433"/>
    </row>
    <row r="61" spans="1:10">
      <c r="A61" s="76" t="s">
        <v>5872</v>
      </c>
      <c r="B61" s="37" t="str">
        <f>Language!A943</f>
        <v>Are plates stored inside bags/sleeves to avoid dehydration?</v>
      </c>
      <c r="C61" s="27"/>
      <c r="F61" s="29">
        <f t="shared" si="9"/>
        <v>0</v>
      </c>
      <c r="G61" s="18" t="str">
        <f t="shared" si="11"/>
        <v>'</v>
      </c>
      <c r="H61" s="433"/>
    </row>
    <row r="62" spans="1:10" ht="27.6" customHeight="1">
      <c r="A62" s="10"/>
      <c r="B62" s="20" t="str">
        <f>Language!A944</f>
        <v>Do QC records indicate that each batch of Mueller Hinton agar is checked for its ability to produce expected zone sizes using the following ATCC reference strains and antibiotics?</v>
      </c>
      <c r="C62" s="22"/>
      <c r="F62" s="22"/>
    </row>
    <row r="63" spans="1:10">
      <c r="A63" s="76" t="s">
        <v>5873</v>
      </c>
      <c r="B63" s="37" t="str">
        <f>Language!A945</f>
        <v>Pseudomonas aeruginosa 27853 and gentamicin disk</v>
      </c>
      <c r="C63" s="27"/>
      <c r="F63" s="29">
        <f>C63</f>
        <v>0</v>
      </c>
      <c r="G63" s="235" t="str">
        <f>IF(F63="Yes",1,IF(F63="No",0,"'"))</f>
        <v>'</v>
      </c>
      <c r="H63" s="430"/>
      <c r="J63" s="489"/>
    </row>
    <row r="64" spans="1:10">
      <c r="A64" s="76" t="s">
        <v>5874</v>
      </c>
      <c r="B64" s="37" t="str">
        <f>Language!A946</f>
        <v>Enterococcus faecalis 29212 or 33186 and trimethoprim-sulfamethoxazole disk</v>
      </c>
      <c r="C64" s="27"/>
      <c r="F64" s="29">
        <f>C64</f>
        <v>0</v>
      </c>
      <c r="G64" s="18" t="str">
        <f t="shared" ref="G64:G65" si="12">IF(F64="Yes",1,IF(F64="No",0,"'"))</f>
        <v>'</v>
      </c>
      <c r="H64" s="430"/>
      <c r="J64" s="489"/>
    </row>
    <row r="65" spans="1:10" ht="41.55" customHeight="1">
      <c r="A65" s="76" t="s">
        <v>5875</v>
      </c>
      <c r="B65" s="20" t="str">
        <f>Language!A947</f>
        <v>Do QC records indicate that each batch of Mueller Hinton Blood agar is checked for its ability to produce expected zone sizes using Streptococcus pneumoniae ATCC 49619 (or equivalent)?</v>
      </c>
      <c r="C65" s="27"/>
      <c r="F65" s="29">
        <f>C65</f>
        <v>0</v>
      </c>
      <c r="G65" s="18" t="str">
        <f t="shared" si="12"/>
        <v>'</v>
      </c>
      <c r="H65" s="430"/>
    </row>
    <row r="66" spans="1:10">
      <c r="A66" s="10"/>
      <c r="B66" s="50" t="str">
        <f>Language!A948</f>
        <v>Check NA if the lab does not use MHB</v>
      </c>
    </row>
    <row r="67" spans="1:10" ht="16.2" thickBot="1">
      <c r="A67" s="10"/>
    </row>
    <row r="68" spans="1:10" ht="16.2" thickBot="1">
      <c r="A68" s="160"/>
      <c r="B68" s="83" t="str">
        <f>Language!A949</f>
        <v>BLOOD CULTURE BOTTLES PREPARATION AND QC</v>
      </c>
      <c r="C68" s="72" t="str">
        <f>IF(COUNTBLANK(C69:C90)=22,"???",IF(F69="Yes",AVERAGE(G70:G90),"NA"))</f>
        <v>???</v>
      </c>
      <c r="F68" s="29"/>
      <c r="G68" s="18"/>
      <c r="H68" s="427"/>
    </row>
    <row r="69" spans="1:10">
      <c r="A69" s="76" t="s">
        <v>5876</v>
      </c>
      <c r="B69" s="8" t="str">
        <f>Language!A950</f>
        <v>Does the lab prepare blood culture bottles in-house?</v>
      </c>
      <c r="C69" s="108"/>
      <c r="F69" s="29">
        <f>C69</f>
        <v>0</v>
      </c>
      <c r="G69" s="18"/>
      <c r="H69" s="430"/>
      <c r="J69" s="489"/>
    </row>
    <row r="70" spans="1:10">
      <c r="A70" s="76"/>
      <c r="B70" s="439" t="str">
        <f>Language!A951</f>
        <v>If no, answer NA to remaining questions</v>
      </c>
      <c r="C70" s="29"/>
      <c r="D70" s="29"/>
      <c r="E70" s="29"/>
      <c r="F70" s="29"/>
      <c r="G70" s="18"/>
      <c r="H70" s="29"/>
    </row>
    <row r="71" spans="1:10" ht="27.6" customHeight="1">
      <c r="A71" s="76">
        <v>5.51</v>
      </c>
      <c r="B71" s="127" t="str">
        <f>Language!A952</f>
        <v xml:space="preserve">Which base broth is used? (Broth must support growth of a wide range of bacterial species) </v>
      </c>
      <c r="C71" s="423"/>
      <c r="F71" s="29">
        <f>C71</f>
        <v>0</v>
      </c>
      <c r="G71" s="18" t="str">
        <f>IF(F71=8,0,IF(F71=0,"'",IF(F71="NA","'",1)))</f>
        <v>'</v>
      </c>
      <c r="H71" s="430"/>
      <c r="I71" s="18"/>
    </row>
    <row r="72" spans="1:10" ht="27.6" customHeight="1">
      <c r="A72" s="76"/>
      <c r="B72" s="68" t="str">
        <f>Language!A953</f>
        <v>1-Brain Heart Infusion, 2-Supplemented peptone, 3-Soybean-casein digest (tryptic soy), 4-Thioglycolate, 5-Thiol, 6-Colombia, 7-Brucella, 8-Other, NA</v>
      </c>
      <c r="C72" s="29"/>
      <c r="D72" s="29"/>
      <c r="E72" s="29"/>
      <c r="F72" s="29"/>
      <c r="G72" s="18"/>
      <c r="H72" s="29"/>
    </row>
    <row r="73" spans="1:10">
      <c r="A73" s="76">
        <v>5.52</v>
      </c>
      <c r="B73" s="127" t="str">
        <f>Language!A954</f>
        <v>Is sodium polyanethole sulfonate (SPS) added? (an anticoagulant and growth stabilizer)</v>
      </c>
      <c r="C73" s="108"/>
      <c r="F73" s="29">
        <f>C73</f>
        <v>0</v>
      </c>
      <c r="G73" s="18" t="str">
        <f t="shared" ref="G73" si="13">IF(F73="Yes",1,IF(F73="No",0,"'"))</f>
        <v>'</v>
      </c>
      <c r="H73" s="430"/>
      <c r="I73" s="13"/>
    </row>
    <row r="74" spans="1:10" ht="27.6" customHeight="1">
      <c r="A74" s="76" t="s">
        <v>5877</v>
      </c>
      <c r="B74" s="127" t="str">
        <f>Language!A955</f>
        <v>Are any growth-promoters added? (Such as: Gelatin, Yeast Extract, Hemin (X-factor), NAD (Y-factor), Pyridoxine, Para-amino benzoic acid, Cysteine)</v>
      </c>
      <c r="C74" s="108"/>
      <c r="F74" s="29">
        <f>C74</f>
        <v>0</v>
      </c>
      <c r="G74" s="18"/>
      <c r="H74" s="430"/>
    </row>
    <row r="75" spans="1:10">
      <c r="A75" s="76"/>
      <c r="B75" s="68" t="str">
        <f>Language!A956</f>
        <v>If yes, please describe in comments</v>
      </c>
      <c r="C75" s="29"/>
      <c r="D75" s="29"/>
      <c r="E75" s="29"/>
      <c r="F75" s="29"/>
      <c r="G75" s="18"/>
      <c r="H75" s="29"/>
    </row>
    <row r="76" spans="1:10">
      <c r="A76" s="76" t="s">
        <v>5878</v>
      </c>
      <c r="B76" s="127" t="str">
        <f>Language!A957</f>
        <v>Are resins or charcoal added? (to bind antimicrobials present in the patient's blood)</v>
      </c>
      <c r="C76" s="108"/>
      <c r="F76" s="29">
        <f>C76</f>
        <v>0</v>
      </c>
      <c r="G76" s="18"/>
      <c r="H76" s="430"/>
      <c r="I76" s="13"/>
    </row>
    <row r="77" spans="1:10">
      <c r="A77" s="76"/>
      <c r="B77" s="68" t="str">
        <f>Language!A958</f>
        <v>If yes, please descrube in comments</v>
      </c>
      <c r="C77" s="29"/>
      <c r="D77" s="29"/>
      <c r="E77" s="29"/>
      <c r="F77" s="29"/>
      <c r="G77" s="18"/>
      <c r="H77" s="29"/>
    </row>
    <row r="78" spans="1:10" ht="27.6" customHeight="1">
      <c r="A78" s="76" t="s">
        <v>5879</v>
      </c>
      <c r="B78" s="127" t="str">
        <f>Language!A959</f>
        <v>Is 50mL of broth dispensed into sterile bottles for adult patients? (1:5 blood:broth ratio)</v>
      </c>
      <c r="C78" s="27"/>
      <c r="F78" s="29">
        <f>C78</f>
        <v>0</v>
      </c>
      <c r="G78" s="18" t="str">
        <f t="shared" ref="G78:G80" si="14">IF(F78="Yes",1,IF(F78="No",0,"'"))</f>
        <v>'</v>
      </c>
      <c r="H78" s="430"/>
      <c r="I78" s="13"/>
    </row>
    <row r="79" spans="1:10" ht="27.6" customHeight="1">
      <c r="A79" s="76" t="s">
        <v>5880</v>
      </c>
      <c r="B79" s="127" t="str">
        <f>Language!A960</f>
        <v>Is 25mL of broth dispensed into sterile bottles for pediatric patients? (1:5 blood:broth ratio)</v>
      </c>
      <c r="C79" s="27"/>
      <c r="F79" s="29">
        <f>C79</f>
        <v>0</v>
      </c>
      <c r="G79" s="18" t="str">
        <f t="shared" si="14"/>
        <v>'</v>
      </c>
      <c r="H79" s="430"/>
      <c r="I79" s="13"/>
    </row>
    <row r="80" spans="1:10">
      <c r="A80" s="76" t="s">
        <v>5881</v>
      </c>
      <c r="B80" s="127" t="str">
        <f>Language!A961</f>
        <v>Are the bottles autoclaved at 121°C for &gt;15 min?</v>
      </c>
      <c r="C80" s="27"/>
      <c r="F80" s="29">
        <f>C80</f>
        <v>0</v>
      </c>
      <c r="G80" s="18" t="str">
        <f t="shared" si="14"/>
        <v>'</v>
      </c>
      <c r="H80" s="430"/>
      <c r="I80" s="13"/>
    </row>
    <row r="81" spans="1:9">
      <c r="A81" s="76"/>
      <c r="B81" s="127" t="str">
        <f>Language!A962</f>
        <v>Do QC records for blood culture bottles indicate the following:</v>
      </c>
      <c r="C81" s="13"/>
      <c r="D81" s="13"/>
      <c r="E81" s="13"/>
      <c r="F81" s="13"/>
      <c r="G81" s="13"/>
      <c r="I81" s="13"/>
    </row>
    <row r="82" spans="1:9">
      <c r="A82" s="76" t="s">
        <v>5882</v>
      </c>
      <c r="B82" s="82" t="str">
        <f>Language!A963</f>
        <v>Visual inspection performed and documented</v>
      </c>
      <c r="C82" s="27"/>
      <c r="F82" s="29">
        <f>C82</f>
        <v>0</v>
      </c>
      <c r="G82" s="18" t="str">
        <f t="shared" ref="G82:G87" si="15">IF(F82="Yes",1,IF(F82="No",0,"'"))</f>
        <v>'</v>
      </c>
      <c r="H82" s="430"/>
      <c r="I82" s="13"/>
    </row>
    <row r="83" spans="1:9">
      <c r="A83" s="76" t="s">
        <v>5883</v>
      </c>
      <c r="B83" s="82" t="str">
        <f>Language!A964</f>
        <v>Checked for sterility by incubating a portion of uninoculated bottles? (Ideally 5%)</v>
      </c>
      <c r="C83" s="27"/>
      <c r="F83" s="29">
        <f>C83</f>
        <v>0</v>
      </c>
      <c r="G83" s="18" t="str">
        <f t="shared" si="15"/>
        <v>'</v>
      </c>
      <c r="H83" s="430"/>
      <c r="I83" s="13"/>
    </row>
    <row r="84" spans="1:9">
      <c r="A84" s="76" t="s">
        <v>5884</v>
      </c>
      <c r="B84" s="82" t="str">
        <f>Language!A965</f>
        <v>Ability to support growth of Streptococcus pneumoniae</v>
      </c>
      <c r="C84" s="27"/>
      <c r="F84" s="29">
        <f t="shared" ref="F84:F85" si="16">C84</f>
        <v>0</v>
      </c>
      <c r="G84" s="18" t="str">
        <f t="shared" si="15"/>
        <v>'</v>
      </c>
      <c r="H84" s="430"/>
      <c r="I84" s="13"/>
    </row>
    <row r="85" spans="1:9">
      <c r="A85" s="76" t="s">
        <v>5885</v>
      </c>
      <c r="B85" s="82" t="str">
        <f>Language!A966</f>
        <v>Ability to support growth of Haemophilus influenzae</v>
      </c>
      <c r="C85" s="27"/>
      <c r="F85" s="29">
        <f t="shared" si="16"/>
        <v>0</v>
      </c>
      <c r="G85" s="18" t="str">
        <f t="shared" si="15"/>
        <v>'</v>
      </c>
      <c r="H85" s="430"/>
      <c r="I85" s="13"/>
    </row>
    <row r="86" spans="1:9" ht="27.6" customHeight="1">
      <c r="A86" s="76" t="s">
        <v>5886</v>
      </c>
      <c r="B86" s="127" t="str">
        <f>Language!A967</f>
        <v>Near the expiration date, is QC repeated on a few of the bottles to confirm the long-term stability of the broth?</v>
      </c>
      <c r="C86" s="27"/>
      <c r="F86" s="29">
        <f t="shared" ref="F86" si="17">C86</f>
        <v>0</v>
      </c>
      <c r="G86" s="18" t="str">
        <f t="shared" si="15"/>
        <v>'</v>
      </c>
      <c r="H86" s="430"/>
    </row>
    <row r="87" spans="1:9" ht="27.6" customHeight="1">
      <c r="A87" s="76" t="s">
        <v>5887</v>
      </c>
      <c r="B87" s="127" t="str">
        <f>Language!A968</f>
        <v>Are unused bottles labeled correctly (name, batch #, production date and expiration date)?</v>
      </c>
      <c r="C87" s="27"/>
      <c r="F87" s="29">
        <f>C87</f>
        <v>0</v>
      </c>
      <c r="G87" s="18" t="str">
        <f t="shared" si="15"/>
        <v>'</v>
      </c>
      <c r="H87" s="433"/>
      <c r="I87" s="13"/>
    </row>
  </sheetData>
  <sheetProtection algorithmName="SHA-256" hashValue="QCa71OgYEYFI87fFG03XwCOG/AvEjgHCAmrC1t3txXE=" saltValue="nbdZ1ETQ4QWnJcML5GdogA==" spinCount="100000" sheet="1" selectLockedCells="1"/>
  <mergeCells count="1">
    <mergeCell ref="B49:H49"/>
  </mergeCells>
  <phoneticPr fontId="45" type="noConversion"/>
  <conditionalFormatting sqref="C3">
    <cfRule type="cellIs" dxfId="1167" priority="159" stopIfTrue="1" operator="lessThan">
      <formula>0.5</formula>
    </cfRule>
    <cfRule type="cellIs" dxfId="1166" priority="158" stopIfTrue="1" operator="between">
      <formula>0.5</formula>
      <formula>0.799</formula>
    </cfRule>
    <cfRule type="cellIs" dxfId="1165" priority="157" stopIfTrue="1" operator="greaterThanOrEqual">
      <formula>0.8</formula>
    </cfRule>
  </conditionalFormatting>
  <conditionalFormatting sqref="C18">
    <cfRule type="cellIs" dxfId="1164" priority="145" stopIfTrue="1" operator="lessThan">
      <formula>0.5</formula>
    </cfRule>
    <cfRule type="cellIs" dxfId="1163" priority="144" stopIfTrue="1" operator="between">
      <formula>0.5</formula>
      <formula>0.799</formula>
    </cfRule>
    <cfRule type="cellIs" dxfId="1162" priority="143" stopIfTrue="1" operator="greaterThanOrEqual">
      <formula>0.8</formula>
    </cfRule>
  </conditionalFormatting>
  <conditionalFormatting sqref="C30">
    <cfRule type="cellIs" dxfId="1161" priority="113" stopIfTrue="1" operator="greaterThanOrEqual">
      <formula>0.8</formula>
    </cfRule>
    <cfRule type="cellIs" dxfId="1160" priority="115" stopIfTrue="1" operator="lessThan">
      <formula>0.5</formula>
    </cfRule>
    <cfRule type="cellIs" dxfId="1159" priority="114" stopIfTrue="1" operator="between">
      <formula>0.5</formula>
      <formula>0.799</formula>
    </cfRule>
  </conditionalFormatting>
  <conditionalFormatting sqref="C36">
    <cfRule type="cellIs" dxfId="1158" priority="352" stopIfTrue="1" operator="lessThan">
      <formula>0.5</formula>
    </cfRule>
    <cfRule type="cellIs" dxfId="1157" priority="351" stopIfTrue="1" operator="between">
      <formula>0.5</formula>
      <formula>0.799</formula>
    </cfRule>
    <cfRule type="cellIs" dxfId="1156" priority="350" stopIfTrue="1" operator="greaterThanOrEqual">
      <formula>0.8</formula>
    </cfRule>
  </conditionalFormatting>
  <conditionalFormatting sqref="C51">
    <cfRule type="cellIs" dxfId="1155" priority="227" stopIfTrue="1" operator="lessThan">
      <formula>0.5</formula>
    </cfRule>
    <cfRule type="cellIs" dxfId="1154" priority="226" stopIfTrue="1" operator="between">
      <formula>0.5</formula>
      <formula>0.799</formula>
    </cfRule>
    <cfRule type="cellIs" dxfId="1153" priority="225" stopIfTrue="1" operator="greaterThanOrEqual">
      <formula>0.8</formula>
    </cfRule>
  </conditionalFormatting>
  <conditionalFormatting sqref="C68">
    <cfRule type="cellIs" dxfId="1152" priority="126" stopIfTrue="1" operator="lessThan">
      <formula>0.5</formula>
    </cfRule>
    <cfRule type="cellIs" dxfId="1151" priority="125" stopIfTrue="1" operator="between">
      <formula>0.5</formula>
      <formula>0.799</formula>
    </cfRule>
    <cfRule type="cellIs" dxfId="1150" priority="124" stopIfTrue="1" operator="greaterThanOrEqual">
      <formula>0.8</formula>
    </cfRule>
  </conditionalFormatting>
  <conditionalFormatting sqref="G1">
    <cfRule type="containsText" dxfId="1149" priority="376" stopIfTrue="1" operator="containsText" text="RED FLAG">
      <formula>NOT(ISERROR(SEARCH("RED FLAG",G1)))</formula>
    </cfRule>
  </conditionalFormatting>
  <conditionalFormatting sqref="G3:G4">
    <cfRule type="cellIs" dxfId="1148" priority="32" stopIfTrue="1" operator="greaterThan">
      <formula>0.75</formula>
    </cfRule>
    <cfRule type="containsText" dxfId="1147" priority="29" stopIfTrue="1" operator="containsText" text="RED FLAG">
      <formula>NOT(ISERROR(SEARCH("RED FLAG",G3)))</formula>
    </cfRule>
    <cfRule type="cellIs" dxfId="1146" priority="30" stopIfTrue="1" operator="lessThan">
      <formula>0.5</formula>
    </cfRule>
    <cfRule type="cellIs" dxfId="1145" priority="31" stopIfTrue="1" operator="between">
      <formula>0.5</formula>
      <formula>0.75</formula>
    </cfRule>
  </conditionalFormatting>
  <conditionalFormatting sqref="G6:G25">
    <cfRule type="cellIs" dxfId="1144" priority="24" stopIfTrue="1" operator="greaterThan">
      <formula>0.75</formula>
    </cfRule>
    <cfRule type="cellIs" dxfId="1143" priority="23" stopIfTrue="1" operator="between">
      <formula>0.5</formula>
      <formula>0.75</formula>
    </cfRule>
    <cfRule type="cellIs" dxfId="1142" priority="22" stopIfTrue="1" operator="lessThan">
      <formula>0.5</formula>
    </cfRule>
  </conditionalFormatting>
  <conditionalFormatting sqref="G6:G37">
    <cfRule type="containsText" dxfId="1141" priority="21" stopIfTrue="1" operator="containsText" text="RED FLAG">
      <formula>NOT(ISERROR(SEARCH("RED FLAG",G6)))</formula>
    </cfRule>
  </conditionalFormatting>
  <conditionalFormatting sqref="G25">
    <cfRule type="cellIs" dxfId="1140" priority="16" stopIfTrue="1" operator="between">
      <formula>0.5</formula>
      <formula>0.75</formula>
    </cfRule>
    <cfRule type="cellIs" dxfId="1139" priority="15" stopIfTrue="1" operator="lessThan">
      <formula>0.5</formula>
    </cfRule>
    <cfRule type="cellIs" dxfId="1138" priority="20" stopIfTrue="1" operator="greaterThan">
      <formula>0.75</formula>
    </cfRule>
    <cfRule type="cellIs" dxfId="1137" priority="19" stopIfTrue="1" operator="between">
      <formula>0.5</formula>
      <formula>0.75</formula>
    </cfRule>
    <cfRule type="cellIs" dxfId="1136" priority="18" stopIfTrue="1" operator="lessThan">
      <formula>0.5</formula>
    </cfRule>
    <cfRule type="cellIs" dxfId="1135" priority="17" stopIfTrue="1" operator="greaterThan">
      <formula>0.75</formula>
    </cfRule>
  </conditionalFormatting>
  <conditionalFormatting sqref="G27:G35 G37 G40:G48 G53:G61 G63:G65">
    <cfRule type="cellIs" dxfId="1134" priority="28" stopIfTrue="1" operator="greaterThan">
      <formula>0.75</formula>
    </cfRule>
    <cfRule type="cellIs" dxfId="1133" priority="27" stopIfTrue="1" operator="between">
      <formula>0.5</formula>
      <formula>0.75</formula>
    </cfRule>
  </conditionalFormatting>
  <conditionalFormatting sqref="G38">
    <cfRule type="cellIs" dxfId="1132" priority="5" stopIfTrue="1" operator="lessThan">
      <formula>0.5</formula>
    </cfRule>
    <cfRule type="cellIs" dxfId="1131" priority="6" stopIfTrue="1" operator="between">
      <formula>0.5</formula>
      <formula>0.75</formula>
    </cfRule>
    <cfRule type="cellIs" dxfId="1130" priority="7" stopIfTrue="1" operator="greaterThan">
      <formula>0.75</formula>
    </cfRule>
    <cfRule type="cellIs" dxfId="1129" priority="9" stopIfTrue="1" operator="between">
      <formula>0.5</formula>
      <formula>0.75</formula>
    </cfRule>
    <cfRule type="cellIs" dxfId="1128" priority="10" stopIfTrue="1" operator="greaterThan">
      <formula>0.75</formula>
    </cfRule>
    <cfRule type="cellIs" dxfId="1127" priority="8" stopIfTrue="1" operator="lessThan">
      <formula>0.5</formula>
    </cfRule>
    <cfRule type="cellIs" dxfId="1126" priority="14" stopIfTrue="1" operator="greaterThan">
      <formula>0.75</formula>
    </cfRule>
    <cfRule type="cellIs" dxfId="1125" priority="13" stopIfTrue="1" operator="between">
      <formula>0.5</formula>
      <formula>0.75</formula>
    </cfRule>
    <cfRule type="cellIs" dxfId="1124" priority="12" stopIfTrue="1" operator="lessThan">
      <formula>0.5</formula>
    </cfRule>
  </conditionalFormatting>
  <conditionalFormatting sqref="G38:G48">
    <cfRule type="containsText" dxfId="1123" priority="11" stopIfTrue="1" operator="containsText" text="RED FLAG">
      <formula>NOT(ISERROR(SEARCH("RED FLAG",G38)))</formula>
    </cfRule>
  </conditionalFormatting>
  <conditionalFormatting sqref="G50:G51">
    <cfRule type="cellIs" dxfId="1122" priority="803" stopIfTrue="1" operator="lessThan">
      <formula>0.5</formula>
    </cfRule>
    <cfRule type="cellIs" dxfId="1121" priority="804" stopIfTrue="1" operator="between">
      <formula>0.5</formula>
      <formula>0.75</formula>
    </cfRule>
    <cfRule type="cellIs" dxfId="1120" priority="805" stopIfTrue="1" operator="greaterThan">
      <formula>0.75</formula>
    </cfRule>
  </conditionalFormatting>
  <conditionalFormatting sqref="G50:G61 G63:G70">
    <cfRule type="containsText" dxfId="1119" priority="25" stopIfTrue="1" operator="containsText" text="RED FLAG">
      <formula>NOT(ISERROR(SEARCH("RED FLAG",G50)))</formula>
    </cfRule>
  </conditionalFormatting>
  <conditionalFormatting sqref="G53:G61 G63:G65 G27:G35 G37 G40:G48">
    <cfRule type="cellIs" dxfId="1118" priority="26" stopIfTrue="1" operator="lessThan">
      <formula>0.5</formula>
    </cfRule>
  </conditionalFormatting>
  <conditionalFormatting sqref="G68:G72 I71">
    <cfRule type="cellIs" dxfId="1117" priority="48" stopIfTrue="1" operator="lessThan">
      <formula>0.5</formula>
    </cfRule>
    <cfRule type="cellIs" dxfId="1116" priority="49" stopIfTrue="1" operator="between">
      <formula>0.5</formula>
      <formula>0.75</formula>
    </cfRule>
    <cfRule type="cellIs" dxfId="1115" priority="50" stopIfTrue="1" operator="greaterThan">
      <formula>0.75</formula>
    </cfRule>
  </conditionalFormatting>
  <conditionalFormatting sqref="G72:G80 G82:G1048576">
    <cfRule type="containsText" dxfId="1114" priority="1" stopIfTrue="1" operator="containsText" text="RED FLAG">
      <formula>NOT(ISERROR(SEARCH("RED FLAG",G72)))</formula>
    </cfRule>
  </conditionalFormatting>
  <conditionalFormatting sqref="G73:G80 G82:G87">
    <cfRule type="cellIs" dxfId="1113" priority="2" stopIfTrue="1" operator="lessThan">
      <formula>0.5</formula>
    </cfRule>
    <cfRule type="cellIs" dxfId="1112" priority="3" stopIfTrue="1" operator="between">
      <formula>0.5</formula>
      <formula>0.75</formula>
    </cfRule>
    <cfRule type="cellIs" dxfId="1111" priority="4" stopIfTrue="1" operator="greaterThan">
      <formula>0.75</formula>
    </cfRule>
  </conditionalFormatting>
  <dataValidations count="5">
    <dataValidation type="list" allowBlank="1" showInputMessage="1" showErrorMessage="1" sqref="C55 C65 C58 C53 C14:C17 C4 C6:C12 C32:C35 C73:C74 C44:C48 C76 C78:C80 C82:C87" xr:uid="{00000000-0002-0000-0900-000000000000}">
      <formula1>"Yes,No,NA"</formula1>
    </dataValidation>
    <dataValidation type="list" allowBlank="1" showInputMessage="1" showErrorMessage="1" sqref="C54 C37 C40:C43 C63:C64 C56:C57 C59:C61 C19:C24 C27:C29 C69" xr:uid="{00000000-0002-0000-0900-000001000000}">
      <formula1>"Yes,No"</formula1>
    </dataValidation>
    <dataValidation type="list" allowBlank="1" showInputMessage="1" showErrorMessage="1" sqref="C38" xr:uid="{00000000-0002-0000-0900-000002000000}">
      <formula1>"1,2,3,NA"</formula1>
    </dataValidation>
    <dataValidation type="list" allowBlank="1" showInputMessage="1" showErrorMessage="1" sqref="C25" xr:uid="{00000000-0002-0000-0900-000003000000}">
      <formula1>"1,2,3"</formula1>
    </dataValidation>
    <dataValidation type="list" allowBlank="1" showInputMessage="1" showErrorMessage="1" sqref="C71" xr:uid="{00000000-0002-0000-0900-000004000000}">
      <formula1>"1,2,3,4,5,6,7,8,NA"</formula1>
    </dataValidation>
  </dataValidations>
  <pageMargins left="0.25" right="0.25" top="0.75000000000000011" bottom="0.75000000000000011" header="0.30000000000000004" footer="0.30000000000000004"/>
  <pageSetup paperSize="9" scale="94" fitToHeight="4" orientation="landscape" r:id="rId1"/>
  <headerFooter>
    <oddFooter>&amp;C&amp;A -&amp;P</oddFooter>
  </headerFooter>
  <rowBreaks count="3" manualBreakCount="3">
    <brk id="29" max="7" man="1"/>
    <brk id="49" max="4" man="1"/>
    <brk id="67"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0070C0"/>
    <pageSetUpPr fitToPage="1"/>
  </sheetPr>
  <dimension ref="A1:K163"/>
  <sheetViews>
    <sheetView zoomScaleNormal="100" zoomScaleSheetLayoutView="11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2.69921875" style="22" hidden="1" customWidth="1"/>
    <col min="6" max="6" width="5.19921875" style="28" hidden="1" customWidth="1"/>
    <col min="7" max="7" width="5.19921875" style="22" customWidth="1"/>
    <col min="8" max="8" width="38.69921875" style="71" customWidth="1"/>
    <col min="9" max="9" width="9.69921875" style="22" customWidth="1"/>
    <col min="10" max="16384" width="11" style="22"/>
  </cols>
  <sheetData>
    <row r="1" spans="1:11">
      <c r="A1" s="10"/>
      <c r="B1" s="43" t="str">
        <f>Language!A969</f>
        <v>6- QUALITY CONTROL - ID METHODS</v>
      </c>
      <c r="C1" s="51" t="str">
        <f>IF(COUNT(G2:G163)=0,"???",AVERAGE(G2:G163))</f>
        <v>???</v>
      </c>
      <c r="H1" s="192" t="str">
        <f>'Facility 1'!H1</f>
        <v>Comments</v>
      </c>
    </row>
    <row r="2" spans="1:11" ht="16.2" thickBot="1">
      <c r="A2" s="16"/>
      <c r="B2" s="444"/>
      <c r="C2" s="227"/>
      <c r="D2" s="487"/>
      <c r="E2" s="194"/>
      <c r="F2" s="194"/>
      <c r="G2" s="194"/>
      <c r="H2" s="444"/>
      <c r="J2" s="194"/>
      <c r="K2" s="194"/>
    </row>
    <row r="3" spans="1:11" ht="16.2" thickBot="1">
      <c r="A3" s="160"/>
      <c r="B3" s="83" t="str">
        <f>Language!A970</f>
        <v>GRAM STAIN QC and REAGENT LABELING AND STORAGE</v>
      </c>
      <c r="C3" s="72" t="str">
        <f>IF(COUNTBLANK(C4:C14)=11,"???",IF(COUNT(G4:G14)=0,"NA",AVERAGE(G4:G14)))</f>
        <v>???</v>
      </c>
      <c r="D3" s="48"/>
      <c r="E3" s="48"/>
      <c r="F3" s="48"/>
      <c r="G3" s="48"/>
      <c r="H3" s="427"/>
    </row>
    <row r="4" spans="1:11" ht="27.6" customHeight="1">
      <c r="A4" s="10" t="s">
        <v>5888</v>
      </c>
      <c r="B4" s="20" t="str">
        <f>Language!A971</f>
        <v>Is QC performed and results recorded on each new preparation or lot number of Gram stain reagents?</v>
      </c>
      <c r="C4" s="27"/>
      <c r="F4" s="29">
        <f>C4</f>
        <v>0</v>
      </c>
      <c r="G4" s="18" t="str">
        <f>IF(F4=1,1,IF(F4=2,0.5,IF(F4=3,0,"'")))</f>
        <v>'</v>
      </c>
      <c r="H4" s="430"/>
    </row>
    <row r="5" spans="1:11">
      <c r="A5" s="10"/>
      <c r="B5" s="439" t="str">
        <f>Language!A972</f>
        <v>1: Yes - 2: Partial - 3: No</v>
      </c>
      <c r="C5" s="22"/>
      <c r="F5" s="22"/>
    </row>
    <row r="6" spans="1:11" ht="24" customHeight="1">
      <c r="A6" s="10"/>
      <c r="B6" s="553" t="str">
        <f>Language!A973</f>
        <v>Standard: CAP MIC.21540, MIC.21624 All staining procedures (Gram stains, special stains, and fluorescent stains) should be checked and results recorded for each new batch of stain.</v>
      </c>
      <c r="C6" s="22"/>
      <c r="F6" s="22"/>
    </row>
    <row r="7" spans="1:11">
      <c r="A7" s="10" t="s">
        <v>5889</v>
      </c>
      <c r="B7" s="20" t="str">
        <f>Language!A974</f>
        <v>Is Gram stain QC performed using both positive and negative control organisms?</v>
      </c>
      <c r="C7" s="27"/>
      <c r="F7" s="29">
        <f>C7</f>
        <v>0</v>
      </c>
      <c r="G7" s="18" t="str">
        <f t="shared" ref="G7" si="0">IF(F7="Yes",1,IF(F7="No",0,"'"))</f>
        <v>'</v>
      </c>
      <c r="H7" s="430"/>
    </row>
    <row r="8" spans="1:11" ht="27.6" customHeight="1">
      <c r="A8" s="10"/>
      <c r="B8" s="20" t="str">
        <f>Language!A975</f>
        <v xml:space="preserve">Observe the Gram stain, catalase, coagulase, oxidase and indole reagents in use by the laboratory. Are they labeled with: </v>
      </c>
      <c r="H8" s="176"/>
    </row>
    <row r="9" spans="1:11">
      <c r="A9" s="10"/>
      <c r="B9" s="439" t="str">
        <f>Language!A980</f>
        <v>1: All - 2: Some - 3: None</v>
      </c>
      <c r="C9" s="48"/>
      <c r="F9" s="29"/>
      <c r="G9" s="18"/>
    </row>
    <row r="10" spans="1:11">
      <c r="A10" s="10" t="s">
        <v>5890</v>
      </c>
      <c r="B10" s="37" t="str">
        <f>Language!A976</f>
        <v>Name of reagent</v>
      </c>
      <c r="C10" s="27"/>
      <c r="F10" s="29">
        <f>C10</f>
        <v>0</v>
      </c>
      <c r="G10" s="18" t="str">
        <f>IF(F10=1,1,IF(F10=2,0.5,IF(F10=3,0,"'")))</f>
        <v>'</v>
      </c>
      <c r="H10" s="430"/>
    </row>
    <row r="11" spans="1:11">
      <c r="A11" s="10" t="s">
        <v>5891</v>
      </c>
      <c r="B11" s="37" t="str">
        <f>Language!A977</f>
        <v>Date of preparation/reconstitution (if relevant, e.g., coagulase)</v>
      </c>
      <c r="C11" s="27"/>
      <c r="F11" s="29">
        <f>C11</f>
        <v>0</v>
      </c>
      <c r="G11" s="18" t="str">
        <f t="shared" ref="G11:G13" si="1">IF(F11=1,1,IF(F11=2,0.5,IF(F11=3,0,"'")))</f>
        <v>'</v>
      </c>
      <c r="H11" s="430"/>
    </row>
    <row r="12" spans="1:11">
      <c r="A12" s="10" t="s">
        <v>5892</v>
      </c>
      <c r="B12" s="37" t="str">
        <f>Language!A978</f>
        <v>Date of opening</v>
      </c>
      <c r="C12" s="27"/>
      <c r="F12" s="29">
        <f>C12</f>
        <v>0</v>
      </c>
      <c r="G12" s="18" t="str">
        <f t="shared" si="1"/>
        <v>'</v>
      </c>
      <c r="H12" s="430"/>
    </row>
    <row r="13" spans="1:11">
      <c r="A13" s="10" t="s">
        <v>5893</v>
      </c>
      <c r="B13" s="37" t="str">
        <f>Language!A979</f>
        <v>Expiration date</v>
      </c>
      <c r="C13" s="27"/>
      <c r="F13" s="29">
        <f>C13</f>
        <v>0</v>
      </c>
      <c r="G13" s="18" t="str">
        <f t="shared" si="1"/>
        <v>'</v>
      </c>
      <c r="H13" s="430"/>
    </row>
    <row r="14" spans="1:11">
      <c r="A14" s="10" t="s">
        <v>5894</v>
      </c>
      <c r="B14" s="20" t="str">
        <f>Language!A981</f>
        <v>Are tubed media, reagents, and kits stored at the temperatures indicated by the manufacturer?</v>
      </c>
      <c r="C14" s="27"/>
      <c r="F14" s="29">
        <f>C14</f>
        <v>0</v>
      </c>
      <c r="G14" s="18" t="str">
        <f t="shared" ref="G14" si="2">IF(F14="Yes",1,IF(F14="No",0,"'"))</f>
        <v>'</v>
      </c>
      <c r="H14" s="430"/>
    </row>
    <row r="15" spans="1:11" ht="16.2" thickBot="1">
      <c r="A15" s="10"/>
      <c r="C15" s="48"/>
      <c r="F15" s="29"/>
      <c r="G15" s="18"/>
    </row>
    <row r="16" spans="1:11">
      <c r="A16" s="160"/>
      <c r="B16" s="83" t="str">
        <f>Language!A982</f>
        <v>QC OF INDIVIDUAL BIOCHEMICAL METHODS</v>
      </c>
      <c r="C16" s="72" t="str">
        <f>IF(COUNT(C17:C20)=0,"???",AVERAGE(C17:C20))</f>
        <v>???</v>
      </c>
      <c r="F16" s="18"/>
      <c r="G16" s="18"/>
      <c r="H16" s="434"/>
    </row>
    <row r="17" spans="1:8">
      <c r="A17" s="10"/>
      <c r="B17" s="395" t="str">
        <f>Language!A983</f>
        <v>NOTE: This question applies only to the tubed media and liquid reagents in use by the lab.</v>
      </c>
      <c r="C17" s="386" t="str">
        <f>IF(COUNT(G22,G27,G32,G37,G42,G47,G52,G57,G62,G67,G72,G77,G82,G87,G92,G97,G102,G107,G112,G117,G122,G127,G132)=0,"???",AVERAGE(G22,G27,G32,G37,G42,G47,G52,G57,G62,G67,G72,G77,G82,G87,G92,G97,G102,G107,G112,G117,G122,G127,G132))</f>
        <v>???</v>
      </c>
      <c r="E17" s="29"/>
      <c r="F17" s="29"/>
      <c r="G17" s="18"/>
      <c r="H17" s="558" t="str">
        <f>B22</f>
        <v>Positive control is used</v>
      </c>
    </row>
    <row r="18" spans="1:8">
      <c r="A18" s="10"/>
      <c r="B18" s="395" t="str">
        <f>Language!A984</f>
        <v>It does NOT apply to the biochemical reagent wells incorporated into pre-defined identification systems,</v>
      </c>
      <c r="C18" s="386" t="str">
        <f>IF(COUNT(G23,G28,G33,G38,G43,G48,G53,G58,G63,G68,G73,G78,G83,G88,G93,G98,G103,G108,G113,G118,G123,G128,G133)=0,"???",AVERAGE(G23,G28,G33,G38,G43,G48,G53,G58,G63,G68,G73,G78,G83,G88,G93,G98,G103,G108,G113,G118,G123,G128,G133))</f>
        <v>???</v>
      </c>
      <c r="F18" s="29"/>
      <c r="H18" s="558" t="str">
        <f>B23</f>
        <v>Negative control is used</v>
      </c>
    </row>
    <row r="19" spans="1:8" ht="27.6" customHeight="1">
      <c r="A19" s="10"/>
      <c r="B19" s="540" t="str">
        <f>Language!A985</f>
        <v xml:space="preserve">such as Vitek, API, Liofilchem, etc. </v>
      </c>
      <c r="C19" s="386" t="str">
        <f>IF(COUNT(G24,G29,G34,G39,G44,G49,G54,G59,G64,G69,G74,G79,G84,G89,G94,G99,G104,G109,G114,G119,G124,G129,G134)=0,"???",AVERAGE(G24,G29,G34,G39,G44,G49,G54,G59,G64,G69,G74,G79,G84,G89,G94,G99,G104,G109,G114,G119,G124,G129,G134))</f>
        <v>???</v>
      </c>
      <c r="F19" s="22"/>
      <c r="H19" s="559" t="str">
        <f>B24</f>
        <v>QC is performed on each new batch/lot number</v>
      </c>
    </row>
    <row r="20" spans="1:8" ht="27.6" customHeight="1">
      <c r="A20" s="10"/>
      <c r="B20" s="20" t="str">
        <f>Language!A986</f>
        <v>Do QC records demonstrate the following? If a reagent is not used, check NA</v>
      </c>
      <c r="C20" s="386" t="str">
        <f>IF(COUNT(G25,G30,G35,G40,G45,G50,G55,G60,G65,G70,G75,G80,G85,G90,G95,G100,G105,G110,G115,G120,G125,G130,G135)=0,"???",AVERAGE(G25,G30,G35,G40,G45,G50,G55,G60,G65,G70,G75,G80,G85,G90,G95,G100,G105,G110,G115,G120,G125,G130,G135))</f>
        <v>???</v>
      </c>
      <c r="F20" s="486"/>
      <c r="H20" s="558" t="str">
        <f>B25</f>
        <v>QC is performed using ATCC or ATCC-derivative strains</v>
      </c>
    </row>
    <row r="21" spans="1:8">
      <c r="A21" s="10"/>
      <c r="B21" s="45" t="str">
        <f>Language!A987</f>
        <v>Catalase (H2O2)</v>
      </c>
      <c r="C21" s="74" t="str">
        <f>IF(COUNTBLANK(C22:C25)=4,"???",IF(COUNT(G22:G25)=0,"NA",AVERAGE(G22:G25)))</f>
        <v>???</v>
      </c>
      <c r="E21" s="28"/>
    </row>
    <row r="22" spans="1:8">
      <c r="A22" s="10" t="s">
        <v>5895</v>
      </c>
      <c r="B22" s="37" t="str">
        <f>Language!A988</f>
        <v>Positive control is used</v>
      </c>
      <c r="C22" s="27"/>
      <c r="F22" s="29">
        <f>C22</f>
        <v>0</v>
      </c>
      <c r="G22" s="18" t="str">
        <f t="shared" ref="G22:G25" si="3">IF(F22="Yes",1,IF(F22="No",0,"'"))</f>
        <v>'</v>
      </c>
      <c r="H22" s="430"/>
    </row>
    <row r="23" spans="1:8">
      <c r="A23" s="10" t="s">
        <v>5896</v>
      </c>
      <c r="B23" s="37" t="str">
        <f>Language!A989</f>
        <v>Negative control is used</v>
      </c>
      <c r="C23" s="27"/>
      <c r="F23" s="29">
        <f>C23</f>
        <v>0</v>
      </c>
      <c r="G23" s="18" t="str">
        <f t="shared" si="3"/>
        <v>'</v>
      </c>
      <c r="H23" s="430"/>
    </row>
    <row r="24" spans="1:8">
      <c r="A24" s="10" t="s">
        <v>5897</v>
      </c>
      <c r="B24" s="37" t="str">
        <f>Language!A990</f>
        <v>QC is performed on each new batch/lot number</v>
      </c>
      <c r="C24" s="27"/>
      <c r="F24" s="29">
        <f>C24</f>
        <v>0</v>
      </c>
      <c r="G24" s="18" t="str">
        <f t="shared" si="3"/>
        <v>'</v>
      </c>
      <c r="H24" s="430"/>
    </row>
    <row r="25" spans="1:8">
      <c r="A25" s="10" t="s">
        <v>5898</v>
      </c>
      <c r="B25" s="37" t="str">
        <f>Language!A991</f>
        <v>QC is performed using ATCC or ATCC-derivative strains</v>
      </c>
      <c r="C25" s="27"/>
      <c r="F25" s="29">
        <f>C25</f>
        <v>0</v>
      </c>
      <c r="G25" s="18" t="str">
        <f t="shared" si="3"/>
        <v>'</v>
      </c>
      <c r="H25" s="430"/>
    </row>
    <row r="26" spans="1:8">
      <c r="A26" s="10"/>
      <c r="B26" s="45" t="str">
        <f>Language!A992</f>
        <v>Coagulase plasma</v>
      </c>
      <c r="C26" s="74" t="str">
        <f>IF(COUNTBLANK(C27:C30)=4,"???",IF(COUNT(G27:G30)=0,"NA",AVERAGE(G27:G30)))</f>
        <v>???</v>
      </c>
    </row>
    <row r="27" spans="1:8">
      <c r="A27" s="10" t="s">
        <v>5899</v>
      </c>
      <c r="B27" s="37" t="str">
        <f>Language!A988</f>
        <v>Positive control is used</v>
      </c>
      <c r="C27" s="27"/>
      <c r="F27" s="29">
        <f>C27</f>
        <v>0</v>
      </c>
      <c r="G27" s="18" t="str">
        <f t="shared" ref="G27:G30" si="4">IF(F27="Yes",1,IF(F27="No",0,"'"))</f>
        <v>'</v>
      </c>
      <c r="H27" s="430"/>
    </row>
    <row r="28" spans="1:8">
      <c r="A28" s="10" t="s">
        <v>5900</v>
      </c>
      <c r="B28" s="37" t="str">
        <f>Language!A989</f>
        <v>Negative control is used</v>
      </c>
      <c r="C28" s="27"/>
      <c r="F28" s="29">
        <f>C28</f>
        <v>0</v>
      </c>
      <c r="G28" s="18" t="str">
        <f t="shared" si="4"/>
        <v>'</v>
      </c>
      <c r="H28" s="430"/>
    </row>
    <row r="29" spans="1:8">
      <c r="A29" s="10" t="s">
        <v>5901</v>
      </c>
      <c r="B29" s="37" t="str">
        <f>Language!A990</f>
        <v>QC is performed on each new batch/lot number</v>
      </c>
      <c r="C29" s="27"/>
      <c r="F29" s="29">
        <f>C29</f>
        <v>0</v>
      </c>
      <c r="G29" s="18" t="str">
        <f t="shared" si="4"/>
        <v>'</v>
      </c>
      <c r="H29" s="430"/>
    </row>
    <row r="30" spans="1:8">
      <c r="A30" s="10" t="s">
        <v>5902</v>
      </c>
      <c r="B30" s="37" t="str">
        <f>Language!A991</f>
        <v>QC is performed using ATCC or ATCC-derivative strains</v>
      </c>
      <c r="C30" s="27"/>
      <c r="F30" s="29">
        <f>C30</f>
        <v>0</v>
      </c>
      <c r="G30" s="18" t="str">
        <f t="shared" si="4"/>
        <v>'</v>
      </c>
      <c r="H30" s="430"/>
    </row>
    <row r="31" spans="1:8">
      <c r="A31" s="10"/>
      <c r="B31" s="45" t="str">
        <f>Language!A993</f>
        <v>Staph latex agglutination</v>
      </c>
      <c r="C31" s="74" t="str">
        <f>IF(COUNTBLANK(C32:C35)=4,"???",IF(COUNT(G32:G35)=0,"NA",AVERAGE(G32:G35)))</f>
        <v>???</v>
      </c>
      <c r="H31" s="196"/>
    </row>
    <row r="32" spans="1:8">
      <c r="A32" s="10" t="s">
        <v>5903</v>
      </c>
      <c r="B32" s="37" t="str">
        <f>Language!A988</f>
        <v>Positive control is used</v>
      </c>
      <c r="C32" s="27"/>
      <c r="F32" s="29">
        <f>C32</f>
        <v>0</v>
      </c>
      <c r="G32" s="18" t="str">
        <f t="shared" ref="G32:G35" si="5">IF(F32="Yes",1,IF(F32="No",0,"'"))</f>
        <v>'</v>
      </c>
      <c r="H32" s="430"/>
    </row>
    <row r="33" spans="1:8">
      <c r="A33" s="10" t="s">
        <v>5904</v>
      </c>
      <c r="B33" s="37" t="str">
        <f>Language!A989</f>
        <v>Negative control is used</v>
      </c>
      <c r="C33" s="27"/>
      <c r="F33" s="29">
        <f>C33</f>
        <v>0</v>
      </c>
      <c r="G33" s="18" t="str">
        <f t="shared" si="5"/>
        <v>'</v>
      </c>
      <c r="H33" s="430"/>
    </row>
    <row r="34" spans="1:8">
      <c r="A34" s="10" t="s">
        <v>5905</v>
      </c>
      <c r="B34" s="37" t="str">
        <f>Language!A990</f>
        <v>QC is performed on each new batch/lot number</v>
      </c>
      <c r="C34" s="27"/>
      <c r="F34" s="29">
        <f>C34</f>
        <v>0</v>
      </c>
      <c r="G34" s="18" t="str">
        <f t="shared" si="5"/>
        <v>'</v>
      </c>
      <c r="H34" s="430"/>
    </row>
    <row r="35" spans="1:8">
      <c r="A35" s="10" t="s">
        <v>5906</v>
      </c>
      <c r="B35" s="37" t="str">
        <f>Language!A991</f>
        <v>QC is performed using ATCC or ATCC-derivative strains</v>
      </c>
      <c r="C35" s="27"/>
      <c r="F35" s="29">
        <f>C35</f>
        <v>0</v>
      </c>
      <c r="G35" s="18" t="str">
        <f t="shared" si="5"/>
        <v>'</v>
      </c>
      <c r="H35" s="430"/>
    </row>
    <row r="36" spans="1:8">
      <c r="A36" s="10"/>
      <c r="B36" s="45" t="str">
        <f>Language!A994</f>
        <v>Staph Chromagar</v>
      </c>
      <c r="C36" s="74" t="str">
        <f>IF(COUNTBLANK(C37:C40)=4,"???",IF(COUNT(G37:G40)=0,"NA",AVERAGE(G37:G40)))</f>
        <v>???</v>
      </c>
    </row>
    <row r="37" spans="1:8">
      <c r="A37" s="10" t="s">
        <v>5907</v>
      </c>
      <c r="B37" s="37" t="str">
        <f>Language!A988</f>
        <v>Positive control is used</v>
      </c>
      <c r="C37" s="27"/>
      <c r="F37" s="29">
        <f>C37</f>
        <v>0</v>
      </c>
      <c r="G37" s="18" t="str">
        <f t="shared" ref="G37:G40" si="6">IF(F37="Yes",1,IF(F37="No",0,"'"))</f>
        <v>'</v>
      </c>
      <c r="H37" s="430"/>
    </row>
    <row r="38" spans="1:8">
      <c r="A38" s="10" t="s">
        <v>5908</v>
      </c>
      <c r="B38" s="37" t="str">
        <f>Language!A989</f>
        <v>Negative control is used</v>
      </c>
      <c r="C38" s="27"/>
      <c r="F38" s="29">
        <f>C38</f>
        <v>0</v>
      </c>
      <c r="G38" s="18" t="str">
        <f t="shared" si="6"/>
        <v>'</v>
      </c>
      <c r="H38" s="430"/>
    </row>
    <row r="39" spans="1:8">
      <c r="A39" s="10" t="s">
        <v>5909</v>
      </c>
      <c r="B39" s="37" t="str">
        <f>Language!A990</f>
        <v>QC is performed on each new batch/lot number</v>
      </c>
      <c r="C39" s="27"/>
      <c r="F39" s="29">
        <f>C39</f>
        <v>0</v>
      </c>
      <c r="G39" s="18" t="str">
        <f t="shared" si="6"/>
        <v>'</v>
      </c>
      <c r="H39" s="430"/>
    </row>
    <row r="40" spans="1:8">
      <c r="A40" s="10" t="s">
        <v>5910</v>
      </c>
      <c r="B40" s="37" t="str">
        <f>Language!A991</f>
        <v>QC is performed using ATCC or ATCC-derivative strains</v>
      </c>
      <c r="C40" s="27"/>
      <c r="F40" s="29">
        <f>C40</f>
        <v>0</v>
      </c>
      <c r="G40" s="18" t="str">
        <f t="shared" si="6"/>
        <v>'</v>
      </c>
      <c r="H40" s="430"/>
    </row>
    <row r="41" spans="1:8">
      <c r="A41" s="10"/>
      <c r="B41" s="45" t="str">
        <f>Language!A995</f>
        <v>DNase</v>
      </c>
      <c r="C41" s="74" t="str">
        <f>IF(COUNTBLANK(C42:C45)=4,"???",IF(COUNT(G42:G45)=0,"NA",AVERAGE(G42:G45)))</f>
        <v>???</v>
      </c>
    </row>
    <row r="42" spans="1:8">
      <c r="A42" s="118" t="s">
        <v>5911</v>
      </c>
      <c r="B42" s="37" t="str">
        <f>Language!A988</f>
        <v>Positive control is used</v>
      </c>
      <c r="C42" s="27"/>
      <c r="F42" s="29">
        <f>C42</f>
        <v>0</v>
      </c>
      <c r="G42" s="18" t="str">
        <f t="shared" ref="G42:G45" si="7">IF(F42="Yes",1,IF(F42="No",0,"'"))</f>
        <v>'</v>
      </c>
      <c r="H42" s="430"/>
    </row>
    <row r="43" spans="1:8">
      <c r="A43" s="118" t="s">
        <v>5912</v>
      </c>
      <c r="B43" s="37" t="str">
        <f>Language!A989</f>
        <v>Negative control is used</v>
      </c>
      <c r="C43" s="27"/>
      <c r="F43" s="29">
        <f>C43</f>
        <v>0</v>
      </c>
      <c r="G43" s="18" t="str">
        <f t="shared" si="7"/>
        <v>'</v>
      </c>
      <c r="H43" s="430"/>
    </row>
    <row r="44" spans="1:8">
      <c r="A44" s="118" t="s">
        <v>5913</v>
      </c>
      <c r="B44" s="37" t="str">
        <f>Language!A990</f>
        <v>QC is performed on each new batch/lot number</v>
      </c>
      <c r="C44" s="27"/>
      <c r="F44" s="29">
        <f>C44</f>
        <v>0</v>
      </c>
      <c r="G44" s="18" t="str">
        <f t="shared" si="7"/>
        <v>'</v>
      </c>
      <c r="H44" s="430"/>
    </row>
    <row r="45" spans="1:8">
      <c r="A45" s="118" t="s">
        <v>5914</v>
      </c>
      <c r="B45" s="37" t="str">
        <f>Language!A991</f>
        <v>QC is performed using ATCC or ATCC-derivative strains</v>
      </c>
      <c r="C45" s="27"/>
      <c r="F45" s="29">
        <f>C45</f>
        <v>0</v>
      </c>
      <c r="G45" s="18" t="str">
        <f t="shared" si="7"/>
        <v>'</v>
      </c>
      <c r="H45" s="430"/>
    </row>
    <row r="46" spans="1:8">
      <c r="A46" s="10"/>
      <c r="B46" s="45" t="str">
        <f>Language!A996</f>
        <v>PYR</v>
      </c>
      <c r="C46" s="74" t="str">
        <f>IF(COUNTBLANK(C47:C50)=4,"???",IF(COUNT(G47:G50)=0,"NA",AVERAGE(G47:G50)))</f>
        <v>???</v>
      </c>
    </row>
    <row r="47" spans="1:8">
      <c r="A47" s="76" t="s">
        <v>5915</v>
      </c>
      <c r="B47" s="37" t="str">
        <f>Language!A988</f>
        <v>Positive control is used</v>
      </c>
      <c r="C47" s="27"/>
      <c r="F47" s="29">
        <f>C47</f>
        <v>0</v>
      </c>
      <c r="G47" s="18" t="str">
        <f t="shared" ref="G47:G50" si="8">IF(F47="Yes",1,IF(F47="No",0,"'"))</f>
        <v>'</v>
      </c>
      <c r="H47" s="430"/>
    </row>
    <row r="48" spans="1:8">
      <c r="A48" s="76" t="s">
        <v>5916</v>
      </c>
      <c r="B48" s="37" t="str">
        <f>Language!A989</f>
        <v>Negative control is used</v>
      </c>
      <c r="C48" s="27"/>
      <c r="F48" s="29">
        <f>C48</f>
        <v>0</v>
      </c>
      <c r="G48" s="18" t="str">
        <f t="shared" si="8"/>
        <v>'</v>
      </c>
      <c r="H48" s="430"/>
    </row>
    <row r="49" spans="1:8">
      <c r="A49" s="76" t="s">
        <v>5917</v>
      </c>
      <c r="B49" s="37" t="str">
        <f>Language!A990</f>
        <v>QC is performed on each new batch/lot number</v>
      </c>
      <c r="C49" s="27"/>
      <c r="F49" s="29">
        <f>C49</f>
        <v>0</v>
      </c>
      <c r="G49" s="18" t="str">
        <f t="shared" si="8"/>
        <v>'</v>
      </c>
      <c r="H49" s="430"/>
    </row>
    <row r="50" spans="1:8">
      <c r="A50" s="76" t="s">
        <v>5918</v>
      </c>
      <c r="B50" s="37" t="str">
        <f>Language!A991</f>
        <v>QC is performed using ATCC or ATCC-derivative strains</v>
      </c>
      <c r="C50" s="27"/>
      <c r="F50" s="29">
        <f>C50</f>
        <v>0</v>
      </c>
      <c r="G50" s="18" t="str">
        <f t="shared" si="8"/>
        <v>'</v>
      </c>
      <c r="H50" s="430"/>
    </row>
    <row r="51" spans="1:8">
      <c r="A51" s="10"/>
      <c r="B51" s="45" t="str">
        <f>Language!A997</f>
        <v>Optochin ("P") disk</v>
      </c>
      <c r="C51" s="74" t="str">
        <f>IF(COUNTBLANK(C52:C55)=4,"???",IF(COUNT(G52:G55)=0,"NA",AVERAGE(G52:G55)))</f>
        <v>???</v>
      </c>
    </row>
    <row r="52" spans="1:8">
      <c r="A52" s="76" t="s">
        <v>5919</v>
      </c>
      <c r="B52" s="37" t="str">
        <f>Language!A988</f>
        <v>Positive control is used</v>
      </c>
      <c r="C52" s="27"/>
      <c r="F52" s="29">
        <f>C52</f>
        <v>0</v>
      </c>
      <c r="G52" s="18" t="str">
        <f t="shared" ref="G52:G55" si="9">IF(F52="Yes",1,IF(F52="No",0,"'"))</f>
        <v>'</v>
      </c>
      <c r="H52" s="430"/>
    </row>
    <row r="53" spans="1:8">
      <c r="A53" s="76" t="s">
        <v>5920</v>
      </c>
      <c r="B53" s="37" t="str">
        <f>Language!A989</f>
        <v>Negative control is used</v>
      </c>
      <c r="C53" s="27"/>
      <c r="F53" s="29">
        <f>C53</f>
        <v>0</v>
      </c>
      <c r="G53" s="18" t="str">
        <f t="shared" si="9"/>
        <v>'</v>
      </c>
      <c r="H53" s="430"/>
    </row>
    <row r="54" spans="1:8">
      <c r="A54" s="76" t="s">
        <v>5921</v>
      </c>
      <c r="B54" s="37" t="str">
        <f>Language!A990</f>
        <v>QC is performed on each new batch/lot number</v>
      </c>
      <c r="C54" s="27"/>
      <c r="F54" s="29">
        <f>C54</f>
        <v>0</v>
      </c>
      <c r="G54" s="18" t="str">
        <f t="shared" si="9"/>
        <v>'</v>
      </c>
      <c r="H54" s="430"/>
    </row>
    <row r="55" spans="1:8">
      <c r="A55" s="76" t="s">
        <v>5922</v>
      </c>
      <c r="B55" s="37" t="str">
        <f>Language!A991</f>
        <v>QC is performed using ATCC or ATCC-derivative strains</v>
      </c>
      <c r="C55" s="27"/>
      <c r="F55" s="29">
        <f>C55</f>
        <v>0</v>
      </c>
      <c r="G55" s="18" t="str">
        <f t="shared" si="9"/>
        <v>'</v>
      </c>
      <c r="H55" s="430"/>
    </row>
    <row r="56" spans="1:8">
      <c r="A56" s="10"/>
      <c r="B56" s="45" t="str">
        <f>Language!A998</f>
        <v>Bile solubility (deoxycholate)</v>
      </c>
      <c r="C56" s="74" t="str">
        <f>IF(COUNTBLANK(C57:C60)=4,"???",IF(COUNT(G57:G60)=0,"NA",AVERAGE(G57:G60)))</f>
        <v>???</v>
      </c>
    </row>
    <row r="57" spans="1:8">
      <c r="A57" s="76" t="s">
        <v>5923</v>
      </c>
      <c r="B57" s="37" t="str">
        <f>Language!A988</f>
        <v>Positive control is used</v>
      </c>
      <c r="C57" s="27"/>
      <c r="F57" s="29">
        <f>C57</f>
        <v>0</v>
      </c>
      <c r="G57" s="18" t="str">
        <f t="shared" ref="G57:G60" si="10">IF(F57="Yes",1,IF(F57="No",0,"'"))</f>
        <v>'</v>
      </c>
      <c r="H57" s="430"/>
    </row>
    <row r="58" spans="1:8">
      <c r="A58" s="76" t="s">
        <v>5924</v>
      </c>
      <c r="B58" s="37" t="str">
        <f>Language!A989</f>
        <v>Negative control is used</v>
      </c>
      <c r="C58" s="27"/>
      <c r="F58" s="29">
        <f>C58</f>
        <v>0</v>
      </c>
      <c r="G58" s="18" t="str">
        <f t="shared" si="10"/>
        <v>'</v>
      </c>
      <c r="H58" s="430"/>
    </row>
    <row r="59" spans="1:8">
      <c r="A59" s="76" t="s">
        <v>5925</v>
      </c>
      <c r="B59" s="37" t="str">
        <f>Language!A990</f>
        <v>QC is performed on each new batch/lot number</v>
      </c>
      <c r="C59" s="27"/>
      <c r="F59" s="29">
        <f>C59</f>
        <v>0</v>
      </c>
      <c r="G59" s="18" t="str">
        <f t="shared" si="10"/>
        <v>'</v>
      </c>
      <c r="H59" s="430"/>
    </row>
    <row r="60" spans="1:8">
      <c r="A60" s="76" t="s">
        <v>5926</v>
      </c>
      <c r="B60" s="37" t="str">
        <f>Language!A991</f>
        <v>QC is performed using ATCC or ATCC-derivative strains</v>
      </c>
      <c r="C60" s="27"/>
      <c r="F60" s="29">
        <f>C60</f>
        <v>0</v>
      </c>
      <c r="G60" s="18" t="str">
        <f t="shared" si="10"/>
        <v>'</v>
      </c>
      <c r="H60" s="430"/>
    </row>
    <row r="61" spans="1:8">
      <c r="A61" s="10"/>
      <c r="B61" s="45" t="str">
        <f>Language!A999</f>
        <v>Strep pneumo latex agglutination</v>
      </c>
      <c r="C61" s="74" t="str">
        <f>IF(COUNTBLANK(C62:C65)=4,"???",IF(COUNT(G62:G65)=0,"NA",AVERAGE(G62:G65)))</f>
        <v>???</v>
      </c>
      <c r="H61" s="176"/>
    </row>
    <row r="62" spans="1:8">
      <c r="A62" s="76" t="s">
        <v>5927</v>
      </c>
      <c r="B62" s="37" t="str">
        <f>Language!A988</f>
        <v>Positive control is used</v>
      </c>
      <c r="C62" s="27"/>
      <c r="F62" s="29">
        <f>C62</f>
        <v>0</v>
      </c>
      <c r="G62" s="18" t="str">
        <f t="shared" ref="G62:G65" si="11">IF(F62="Yes",1,IF(F62="No",0,"'"))</f>
        <v>'</v>
      </c>
      <c r="H62" s="430"/>
    </row>
    <row r="63" spans="1:8">
      <c r="A63" s="76" t="s">
        <v>5928</v>
      </c>
      <c r="B63" s="37" t="str">
        <f>Language!A989</f>
        <v>Negative control is used</v>
      </c>
      <c r="C63" s="27"/>
      <c r="F63" s="29">
        <f>C63</f>
        <v>0</v>
      </c>
      <c r="G63" s="18" t="str">
        <f t="shared" si="11"/>
        <v>'</v>
      </c>
      <c r="H63" s="430"/>
    </row>
    <row r="64" spans="1:8">
      <c r="A64" s="76" t="s">
        <v>5929</v>
      </c>
      <c r="B64" s="37" t="str">
        <f>Language!A990</f>
        <v>QC is performed on each new batch/lot number</v>
      </c>
      <c r="C64" s="27"/>
      <c r="F64" s="29">
        <f>C64</f>
        <v>0</v>
      </c>
      <c r="G64" s="18" t="str">
        <f t="shared" si="11"/>
        <v>'</v>
      </c>
      <c r="H64" s="430"/>
    </row>
    <row r="65" spans="1:8">
      <c r="A65" s="76" t="s">
        <v>5930</v>
      </c>
      <c r="B65" s="37" t="str">
        <f>Language!A991</f>
        <v>QC is performed using ATCC or ATCC-derivative strains</v>
      </c>
      <c r="C65" s="27"/>
      <c r="F65" s="29">
        <f>C65</f>
        <v>0</v>
      </c>
      <c r="G65" s="18" t="str">
        <f t="shared" si="11"/>
        <v>'</v>
      </c>
      <c r="H65" s="430"/>
    </row>
    <row r="66" spans="1:8">
      <c r="A66" s="10"/>
      <c r="B66" s="45" t="str">
        <f>Language!A1000</f>
        <v>Oxidase</v>
      </c>
      <c r="C66" s="74" t="str">
        <f>IF(COUNTBLANK(C67:C70)=4,"???",IF(COUNT(G67:G70)=0,"NA",AVERAGE(G67:G70)))</f>
        <v>???</v>
      </c>
      <c r="H66" s="176"/>
    </row>
    <row r="67" spans="1:8">
      <c r="A67" s="76" t="s">
        <v>5931</v>
      </c>
      <c r="B67" s="37" t="str">
        <f>Language!A988</f>
        <v>Positive control is used</v>
      </c>
      <c r="C67" s="27"/>
      <c r="F67" s="29">
        <f>C67</f>
        <v>0</v>
      </c>
      <c r="G67" s="18" t="str">
        <f t="shared" ref="G67:G70" si="12">IF(F67="Yes",1,IF(F67="No",0,"'"))</f>
        <v>'</v>
      </c>
      <c r="H67" s="430"/>
    </row>
    <row r="68" spans="1:8">
      <c r="A68" s="76" t="s">
        <v>5932</v>
      </c>
      <c r="B68" s="37" t="str">
        <f>Language!A989</f>
        <v>Negative control is used</v>
      </c>
      <c r="C68" s="27"/>
      <c r="F68" s="29">
        <f>C68</f>
        <v>0</v>
      </c>
      <c r="G68" s="18" t="str">
        <f t="shared" si="12"/>
        <v>'</v>
      </c>
      <c r="H68" s="430"/>
    </row>
    <row r="69" spans="1:8">
      <c r="A69" s="76" t="s">
        <v>5933</v>
      </c>
      <c r="B69" s="37" t="str">
        <f>Language!A990</f>
        <v>QC is performed on each new batch/lot number</v>
      </c>
      <c r="C69" s="27"/>
      <c r="F69" s="29">
        <f>C69</f>
        <v>0</v>
      </c>
      <c r="G69" s="18" t="str">
        <f t="shared" si="12"/>
        <v>'</v>
      </c>
      <c r="H69" s="430"/>
    </row>
    <row r="70" spans="1:8">
      <c r="A70" s="76" t="s">
        <v>5934</v>
      </c>
      <c r="B70" s="37" t="str">
        <f>Language!A991</f>
        <v>QC is performed using ATCC or ATCC-derivative strains</v>
      </c>
      <c r="C70" s="27"/>
      <c r="F70" s="29">
        <f>C70</f>
        <v>0</v>
      </c>
      <c r="G70" s="18" t="str">
        <f t="shared" si="12"/>
        <v>'</v>
      </c>
      <c r="H70" s="430"/>
    </row>
    <row r="71" spans="1:8">
      <c r="A71" s="10"/>
      <c r="B71" s="45" t="str">
        <f>Language!A1001</f>
        <v>Indole reagents</v>
      </c>
      <c r="C71" s="74" t="str">
        <f>IF(COUNTBLANK(C72:C75)=4,"???",IF(COUNT(G72:G75)=0,"NA",AVERAGE(G72:G75)))</f>
        <v>???</v>
      </c>
    </row>
    <row r="72" spans="1:8">
      <c r="A72" s="76" t="s">
        <v>5935</v>
      </c>
      <c r="B72" s="37" t="str">
        <f>Language!A988</f>
        <v>Positive control is used</v>
      </c>
      <c r="C72" s="27"/>
      <c r="F72" s="29">
        <f>C72</f>
        <v>0</v>
      </c>
      <c r="G72" s="18" t="str">
        <f t="shared" ref="G72:G75" si="13">IF(F72="Yes",1,IF(F72="No",0,"'"))</f>
        <v>'</v>
      </c>
      <c r="H72" s="430"/>
    </row>
    <row r="73" spans="1:8">
      <c r="A73" s="76" t="s">
        <v>5936</v>
      </c>
      <c r="B73" s="37" t="str">
        <f>Language!A989</f>
        <v>Negative control is used</v>
      </c>
      <c r="C73" s="27"/>
      <c r="F73" s="29">
        <f>C73</f>
        <v>0</v>
      </c>
      <c r="G73" s="18" t="str">
        <f t="shared" si="13"/>
        <v>'</v>
      </c>
      <c r="H73" s="430"/>
    </row>
    <row r="74" spans="1:8">
      <c r="A74" s="76" t="s">
        <v>5937</v>
      </c>
      <c r="B74" s="37" t="str">
        <f>Language!A990</f>
        <v>QC is performed on each new batch/lot number</v>
      </c>
      <c r="C74" s="27"/>
      <c r="F74" s="29">
        <f>C74</f>
        <v>0</v>
      </c>
      <c r="G74" s="18" t="str">
        <f t="shared" si="13"/>
        <v>'</v>
      </c>
      <c r="H74" s="430"/>
    </row>
    <row r="75" spans="1:8">
      <c r="A75" s="76" t="s">
        <v>5938</v>
      </c>
      <c r="B75" s="37" t="str">
        <f>Language!A991</f>
        <v>QC is performed using ATCC or ATCC-derivative strains</v>
      </c>
      <c r="C75" s="27"/>
      <c r="F75" s="29">
        <f>C75</f>
        <v>0</v>
      </c>
      <c r="G75" s="18" t="str">
        <f t="shared" si="13"/>
        <v>'</v>
      </c>
      <c r="H75" s="430"/>
    </row>
    <row r="76" spans="1:8">
      <c r="A76" s="10"/>
      <c r="B76" s="45" t="str">
        <f>Language!A1002</f>
        <v>Methyl Red</v>
      </c>
      <c r="C76" s="74" t="str">
        <f>IF(COUNTBLANK(C77:C80)=4,"???",IF(COUNT(G77:G80)=0,"NA",AVERAGE(G77:G80)))</f>
        <v>???</v>
      </c>
    </row>
    <row r="77" spans="1:8">
      <c r="A77" s="76" t="s">
        <v>5939</v>
      </c>
      <c r="B77" s="37" t="str">
        <f>Language!A988</f>
        <v>Positive control is used</v>
      </c>
      <c r="C77" s="27"/>
      <c r="F77" s="29">
        <f>C77</f>
        <v>0</v>
      </c>
      <c r="G77" s="18" t="str">
        <f t="shared" ref="G77:G80" si="14">IF(F77="Yes",1,IF(F77="No",0,"'"))</f>
        <v>'</v>
      </c>
      <c r="H77" s="430"/>
    </row>
    <row r="78" spans="1:8">
      <c r="A78" s="76" t="s">
        <v>5940</v>
      </c>
      <c r="B78" s="37" t="str">
        <f>Language!A989</f>
        <v>Negative control is used</v>
      </c>
      <c r="C78" s="27"/>
      <c r="F78" s="29">
        <f>C78</f>
        <v>0</v>
      </c>
      <c r="G78" s="18" t="str">
        <f t="shared" si="14"/>
        <v>'</v>
      </c>
      <c r="H78" s="430"/>
    </row>
    <row r="79" spans="1:8">
      <c r="A79" s="76" t="s">
        <v>5941</v>
      </c>
      <c r="B79" s="37" t="str">
        <f>Language!A990</f>
        <v>QC is performed on each new batch/lot number</v>
      </c>
      <c r="C79" s="27"/>
      <c r="F79" s="29">
        <f>C79</f>
        <v>0</v>
      </c>
      <c r="G79" s="18" t="str">
        <f t="shared" si="14"/>
        <v>'</v>
      </c>
      <c r="H79" s="430"/>
    </row>
    <row r="80" spans="1:8">
      <c r="A80" s="76" t="s">
        <v>5942</v>
      </c>
      <c r="B80" s="37" t="str">
        <f>Language!A991</f>
        <v>QC is performed using ATCC or ATCC-derivative strains</v>
      </c>
      <c r="C80" s="27"/>
      <c r="F80" s="29">
        <f>C80</f>
        <v>0</v>
      </c>
      <c r="G80" s="18" t="str">
        <f t="shared" si="14"/>
        <v>'</v>
      </c>
      <c r="H80" s="430"/>
    </row>
    <row r="81" spans="1:8">
      <c r="A81" s="10"/>
      <c r="B81" s="24" t="str">
        <f>Language!A1003</f>
        <v>Voges-Proskauer</v>
      </c>
      <c r="C81" s="74" t="str">
        <f>IF(COUNTBLANK(C82:C85)=4,"???",IF(COUNT(G82:G85)=0,"NA",AVERAGE(G82:G85)))</f>
        <v>???</v>
      </c>
    </row>
    <row r="82" spans="1:8">
      <c r="A82" s="76" t="s">
        <v>5943</v>
      </c>
      <c r="B82" s="37" t="str">
        <f>Language!A988</f>
        <v>Positive control is used</v>
      </c>
      <c r="C82" s="27"/>
      <c r="F82" s="29">
        <f>C82</f>
        <v>0</v>
      </c>
      <c r="G82" s="18" t="str">
        <f t="shared" ref="G82:G85" si="15">IF(F82="Yes",1,IF(F82="No",0,"'"))</f>
        <v>'</v>
      </c>
      <c r="H82" s="430"/>
    </row>
    <row r="83" spans="1:8">
      <c r="A83" s="76" t="s">
        <v>5944</v>
      </c>
      <c r="B83" s="37" t="str">
        <f>Language!A989</f>
        <v>Negative control is used</v>
      </c>
      <c r="C83" s="27"/>
      <c r="F83" s="29">
        <f>C83</f>
        <v>0</v>
      </c>
      <c r="G83" s="18" t="str">
        <f t="shared" si="15"/>
        <v>'</v>
      </c>
      <c r="H83" s="430"/>
    </row>
    <row r="84" spans="1:8">
      <c r="A84" s="76" t="s">
        <v>5945</v>
      </c>
      <c r="B84" s="37" t="str">
        <f>Language!A990</f>
        <v>QC is performed on each new batch/lot number</v>
      </c>
      <c r="C84" s="27"/>
      <c r="F84" s="29">
        <f>C84</f>
        <v>0</v>
      </c>
      <c r="G84" s="18" t="str">
        <f t="shared" si="15"/>
        <v>'</v>
      </c>
      <c r="H84" s="430"/>
    </row>
    <row r="85" spans="1:8">
      <c r="A85" s="76" t="s">
        <v>5946</v>
      </c>
      <c r="B85" s="37" t="str">
        <f>Language!A991</f>
        <v>QC is performed using ATCC or ATCC-derivative strains</v>
      </c>
      <c r="C85" s="27"/>
      <c r="F85" s="29">
        <f>C85</f>
        <v>0</v>
      </c>
      <c r="G85" s="18" t="str">
        <f t="shared" si="15"/>
        <v>'</v>
      </c>
      <c r="H85" s="430"/>
    </row>
    <row r="86" spans="1:8">
      <c r="A86" s="10"/>
      <c r="B86" s="24" t="str">
        <f>Language!A1004</f>
        <v>Citrate</v>
      </c>
      <c r="C86" s="74" t="str">
        <f>IF(COUNTBLANK(C87:C90)=4,"???",IF(COUNT(G87:G90)=0,"NA",AVERAGE(G87:G90)))</f>
        <v>???</v>
      </c>
    </row>
    <row r="87" spans="1:8">
      <c r="A87" s="76" t="s">
        <v>5947</v>
      </c>
      <c r="B87" s="37" t="str">
        <f>Language!A988</f>
        <v>Positive control is used</v>
      </c>
      <c r="C87" s="27"/>
      <c r="F87" s="29">
        <f>C87</f>
        <v>0</v>
      </c>
      <c r="G87" s="18" t="str">
        <f t="shared" ref="G87:G90" si="16">IF(F87="Yes",1,IF(F87="No",0,"'"))</f>
        <v>'</v>
      </c>
      <c r="H87" s="430"/>
    </row>
    <row r="88" spans="1:8">
      <c r="A88" s="76" t="s">
        <v>5948</v>
      </c>
      <c r="B88" s="37" t="str">
        <f>Language!A989</f>
        <v>Negative control is used</v>
      </c>
      <c r="C88" s="27"/>
      <c r="F88" s="29">
        <f>C88</f>
        <v>0</v>
      </c>
      <c r="G88" s="18" t="str">
        <f t="shared" si="16"/>
        <v>'</v>
      </c>
      <c r="H88" s="430"/>
    </row>
    <row r="89" spans="1:8">
      <c r="A89" s="76" t="s">
        <v>5949</v>
      </c>
      <c r="B89" s="37" t="str">
        <f>Language!A990</f>
        <v>QC is performed on each new batch/lot number</v>
      </c>
      <c r="C89" s="27"/>
      <c r="F89" s="29">
        <f>C89</f>
        <v>0</v>
      </c>
      <c r="G89" s="18" t="str">
        <f t="shared" si="16"/>
        <v>'</v>
      </c>
      <c r="H89" s="430"/>
    </row>
    <row r="90" spans="1:8">
      <c r="A90" s="76" t="s">
        <v>5950</v>
      </c>
      <c r="B90" s="37" t="str">
        <f>Language!A991</f>
        <v>QC is performed using ATCC or ATCC-derivative strains</v>
      </c>
      <c r="C90" s="27"/>
      <c r="F90" s="29">
        <f>C90</f>
        <v>0</v>
      </c>
      <c r="G90" s="18" t="str">
        <f t="shared" si="16"/>
        <v>'</v>
      </c>
      <c r="H90" s="430"/>
    </row>
    <row r="91" spans="1:8">
      <c r="A91" s="10"/>
      <c r="B91" s="24" t="str">
        <f>Language!A1005</f>
        <v>Triple Sugar Iron agar or Kligler Iron Agar</v>
      </c>
      <c r="C91" s="74" t="str">
        <f>IF(COUNTBLANK(C92:C95)=4,"???",IF(COUNT(G92:G95)=0,"NA",AVERAGE(G92:G95)))</f>
        <v>???</v>
      </c>
    </row>
    <row r="92" spans="1:8">
      <c r="A92" s="76" t="s">
        <v>5951</v>
      </c>
      <c r="B92" s="37" t="str">
        <f>Language!A988</f>
        <v>Positive control is used</v>
      </c>
      <c r="C92" s="27"/>
      <c r="F92" s="29">
        <f>C92</f>
        <v>0</v>
      </c>
      <c r="G92" s="18" t="str">
        <f t="shared" ref="G92:G95" si="17">IF(F92="Yes",1,IF(F92="No",0,"'"))</f>
        <v>'</v>
      </c>
      <c r="H92" s="430"/>
    </row>
    <row r="93" spans="1:8">
      <c r="A93" s="76" t="s">
        <v>5952</v>
      </c>
      <c r="B93" s="37" t="str">
        <f>Language!A989</f>
        <v>Negative control is used</v>
      </c>
      <c r="C93" s="27"/>
      <c r="F93" s="29">
        <f>C93</f>
        <v>0</v>
      </c>
      <c r="G93" s="18" t="str">
        <f t="shared" si="17"/>
        <v>'</v>
      </c>
      <c r="H93" s="430"/>
    </row>
    <row r="94" spans="1:8">
      <c r="A94" s="76" t="s">
        <v>5953</v>
      </c>
      <c r="B94" s="37" t="str">
        <f>Language!A990</f>
        <v>QC is performed on each new batch/lot number</v>
      </c>
      <c r="C94" s="27"/>
      <c r="F94" s="29">
        <f>C94</f>
        <v>0</v>
      </c>
      <c r="G94" s="18" t="str">
        <f t="shared" si="17"/>
        <v>'</v>
      </c>
      <c r="H94" s="430"/>
    </row>
    <row r="95" spans="1:8">
      <c r="A95" s="76" t="s">
        <v>5954</v>
      </c>
      <c r="B95" s="37" t="str">
        <f>Language!A991</f>
        <v>QC is performed using ATCC or ATCC-derivative strains</v>
      </c>
      <c r="C95" s="27"/>
      <c r="F95" s="29">
        <f>C95</f>
        <v>0</v>
      </c>
      <c r="G95" s="18" t="str">
        <f t="shared" si="17"/>
        <v>'</v>
      </c>
      <c r="H95" s="430"/>
    </row>
    <row r="96" spans="1:8">
      <c r="A96" s="10"/>
      <c r="B96" s="24" t="str">
        <f>Language!A1006</f>
        <v>Urease</v>
      </c>
      <c r="C96" s="74" t="str">
        <f>IF(COUNTBLANK(C97:C100)=4,"???",IF(COUNT(G97:G100)=0,"NA",AVERAGE(G97:G100)))</f>
        <v>???</v>
      </c>
    </row>
    <row r="97" spans="1:8">
      <c r="A97" s="76" t="s">
        <v>5955</v>
      </c>
      <c r="B97" s="37" t="str">
        <f>Language!A988</f>
        <v>Positive control is used</v>
      </c>
      <c r="C97" s="27"/>
      <c r="F97" s="29">
        <f>C97</f>
        <v>0</v>
      </c>
      <c r="G97" s="18" t="str">
        <f t="shared" ref="G97:G100" si="18">IF(F97="Yes",1,IF(F97="No",0,"'"))</f>
        <v>'</v>
      </c>
      <c r="H97" s="430"/>
    </row>
    <row r="98" spans="1:8">
      <c r="A98" s="76" t="s">
        <v>5956</v>
      </c>
      <c r="B98" s="37" t="str">
        <f>Language!A989</f>
        <v>Negative control is used</v>
      </c>
      <c r="C98" s="27"/>
      <c r="F98" s="29">
        <f>C98</f>
        <v>0</v>
      </c>
      <c r="G98" s="18" t="str">
        <f t="shared" si="18"/>
        <v>'</v>
      </c>
      <c r="H98" s="430"/>
    </row>
    <row r="99" spans="1:8">
      <c r="A99" s="76" t="s">
        <v>5957</v>
      </c>
      <c r="B99" s="37" t="str">
        <f>Language!A990</f>
        <v>QC is performed on each new batch/lot number</v>
      </c>
      <c r="C99" s="27"/>
      <c r="F99" s="29">
        <f>C99</f>
        <v>0</v>
      </c>
      <c r="G99" s="18" t="str">
        <f t="shared" si="18"/>
        <v>'</v>
      </c>
      <c r="H99" s="430"/>
    </row>
    <row r="100" spans="1:8">
      <c r="A100" s="76" t="s">
        <v>5958</v>
      </c>
      <c r="B100" s="37" t="str">
        <f>Language!A991</f>
        <v>QC is performed using ATCC or ATCC-derivative strains</v>
      </c>
      <c r="C100" s="27"/>
      <c r="F100" s="29">
        <f>C100</f>
        <v>0</v>
      </c>
      <c r="G100" s="18" t="str">
        <f t="shared" si="18"/>
        <v>'</v>
      </c>
      <c r="H100" s="430"/>
    </row>
    <row r="101" spans="1:8">
      <c r="A101" s="10"/>
      <c r="B101" s="24" t="str">
        <f>Language!A1007</f>
        <v>Motility</v>
      </c>
      <c r="C101" s="74" t="str">
        <f>IF(COUNTBLANK(C102:C105)=4,"???",IF(COUNT(G102:G105)=0,"NA",AVERAGE(G102:G105)))</f>
        <v>???</v>
      </c>
    </row>
    <row r="102" spans="1:8">
      <c r="A102" s="76" t="s">
        <v>5959</v>
      </c>
      <c r="B102" s="37" t="str">
        <f>Language!A988</f>
        <v>Positive control is used</v>
      </c>
      <c r="C102" s="27"/>
      <c r="F102" s="29">
        <f>C102</f>
        <v>0</v>
      </c>
      <c r="G102" s="18" t="str">
        <f t="shared" ref="G102:G105" si="19">IF(F102="Yes",1,IF(F102="No",0,"'"))</f>
        <v>'</v>
      </c>
      <c r="H102" s="430"/>
    </row>
    <row r="103" spans="1:8">
      <c r="A103" s="76" t="s">
        <v>5960</v>
      </c>
      <c r="B103" s="37" t="str">
        <f>Language!A989</f>
        <v>Negative control is used</v>
      </c>
      <c r="C103" s="27"/>
      <c r="F103" s="29">
        <f>C103</f>
        <v>0</v>
      </c>
      <c r="G103" s="18" t="str">
        <f t="shared" si="19"/>
        <v>'</v>
      </c>
      <c r="H103" s="430"/>
    </row>
    <row r="104" spans="1:8">
      <c r="A104" s="76" t="s">
        <v>5961</v>
      </c>
      <c r="B104" s="37" t="str">
        <f>Language!A990</f>
        <v>QC is performed on each new batch/lot number</v>
      </c>
      <c r="C104" s="27"/>
      <c r="F104" s="29">
        <f>C104</f>
        <v>0</v>
      </c>
      <c r="G104" s="18" t="str">
        <f t="shared" si="19"/>
        <v>'</v>
      </c>
      <c r="H104" s="430"/>
    </row>
    <row r="105" spans="1:8">
      <c r="A105" s="76" t="s">
        <v>5962</v>
      </c>
      <c r="B105" s="37" t="str">
        <f>Language!A991</f>
        <v>QC is performed using ATCC or ATCC-derivative strains</v>
      </c>
      <c r="C105" s="27"/>
      <c r="F105" s="29">
        <f>C105</f>
        <v>0</v>
      </c>
      <c r="G105" s="18" t="str">
        <f t="shared" si="19"/>
        <v>'</v>
      </c>
      <c r="H105" s="430"/>
    </row>
    <row r="106" spans="1:8">
      <c r="A106" s="10"/>
      <c r="B106" s="24" t="str">
        <f>Language!A1008</f>
        <v>Lysine Iron Agar (LIA) or Lysine decarboxylase (LDC)</v>
      </c>
      <c r="C106" s="74" t="str">
        <f>IF(COUNTBLANK(C107:C110)=4,"???",IF(COUNT(G107:G110)=0,"NA",AVERAGE(G107:G110)))</f>
        <v>???</v>
      </c>
    </row>
    <row r="107" spans="1:8">
      <c r="A107" s="76" t="s">
        <v>5963</v>
      </c>
      <c r="B107" s="37" t="str">
        <f>Language!A988</f>
        <v>Positive control is used</v>
      </c>
      <c r="C107" s="27"/>
      <c r="F107" s="29">
        <f>C107</f>
        <v>0</v>
      </c>
      <c r="G107" s="18" t="str">
        <f t="shared" ref="G107:G110" si="20">IF(F107="Yes",1,IF(F107="No",0,"'"))</f>
        <v>'</v>
      </c>
      <c r="H107" s="430"/>
    </row>
    <row r="108" spans="1:8">
      <c r="A108" s="76" t="s">
        <v>5964</v>
      </c>
      <c r="B108" s="37" t="str">
        <f>Language!A989</f>
        <v>Negative control is used</v>
      </c>
      <c r="C108" s="27"/>
      <c r="F108" s="29">
        <f>C108</f>
        <v>0</v>
      </c>
      <c r="G108" s="18" t="str">
        <f t="shared" si="20"/>
        <v>'</v>
      </c>
      <c r="H108" s="430"/>
    </row>
    <row r="109" spans="1:8">
      <c r="A109" s="76" t="s">
        <v>5965</v>
      </c>
      <c r="B109" s="37" t="str">
        <f>Language!A990</f>
        <v>QC is performed on each new batch/lot number</v>
      </c>
      <c r="C109" s="27"/>
      <c r="F109" s="29">
        <f>C109</f>
        <v>0</v>
      </c>
      <c r="G109" s="18" t="str">
        <f t="shared" si="20"/>
        <v>'</v>
      </c>
      <c r="H109" s="430"/>
    </row>
    <row r="110" spans="1:8">
      <c r="A110" s="76" t="s">
        <v>5966</v>
      </c>
      <c r="B110" s="37" t="str">
        <f>Language!A991</f>
        <v>QC is performed using ATCC or ATCC-derivative strains</v>
      </c>
      <c r="C110" s="27"/>
      <c r="F110" s="29">
        <f>C110</f>
        <v>0</v>
      </c>
      <c r="G110" s="18" t="str">
        <f t="shared" si="20"/>
        <v>'</v>
      </c>
      <c r="H110" s="430"/>
    </row>
    <row r="111" spans="1:8">
      <c r="A111" s="10"/>
      <c r="B111" s="24" t="str">
        <f>Language!A1009</f>
        <v>Glucose or Dextrose Oxidative-Fermentative (OF) test</v>
      </c>
      <c r="C111" s="74" t="str">
        <f>IF(COUNTBLANK(C112:C115)=4,"???",IF(COUNT(G112:G115)=0,"NA",AVERAGE(G112:G115)))</f>
        <v>???</v>
      </c>
    </row>
    <row r="112" spans="1:8">
      <c r="A112" s="76" t="s">
        <v>5967</v>
      </c>
      <c r="B112" s="37" t="str">
        <f>Language!A988</f>
        <v>Positive control is used</v>
      </c>
      <c r="C112" s="27"/>
      <c r="F112" s="29">
        <f>C112</f>
        <v>0</v>
      </c>
      <c r="G112" s="18" t="str">
        <f t="shared" ref="G112:G115" si="21">IF(F112="Yes",1,IF(F112="No",0,"'"))</f>
        <v>'</v>
      </c>
      <c r="H112" s="430"/>
    </row>
    <row r="113" spans="1:8">
      <c r="A113" s="76" t="s">
        <v>5968</v>
      </c>
      <c r="B113" s="37" t="str">
        <f>Language!A989</f>
        <v>Negative control is used</v>
      </c>
      <c r="C113" s="27"/>
      <c r="F113" s="29">
        <f>C113</f>
        <v>0</v>
      </c>
      <c r="G113" s="18" t="str">
        <f t="shared" si="21"/>
        <v>'</v>
      </c>
      <c r="H113" s="430"/>
    </row>
    <row r="114" spans="1:8">
      <c r="A114" s="76" t="s">
        <v>5969</v>
      </c>
      <c r="B114" s="37" t="str">
        <f>Language!A990</f>
        <v>QC is performed on each new batch/lot number</v>
      </c>
      <c r="C114" s="27"/>
      <c r="F114" s="29">
        <f>C114</f>
        <v>0</v>
      </c>
      <c r="G114" s="18" t="str">
        <f t="shared" si="21"/>
        <v>'</v>
      </c>
      <c r="H114" s="430"/>
    </row>
    <row r="115" spans="1:8">
      <c r="A115" s="76" t="s">
        <v>5970</v>
      </c>
      <c r="B115" s="37" t="str">
        <f>Language!A991</f>
        <v>QC is performed using ATCC or ATCC-derivative strains</v>
      </c>
      <c r="C115" s="27"/>
      <c r="F115" s="29">
        <f>C115</f>
        <v>0</v>
      </c>
      <c r="G115" s="18" t="str">
        <f t="shared" si="21"/>
        <v>'</v>
      </c>
      <c r="H115" s="430"/>
    </row>
    <row r="116" spans="1:8">
      <c r="A116" s="10"/>
      <c r="B116" s="24" t="str">
        <f>Language!A1010</f>
        <v>Nitrate reduction</v>
      </c>
      <c r="C116" s="74" t="str">
        <f>IF(COUNTBLANK(C117:C120)=4,"???",IF(COUNT(G117:G120)=0,"NA",AVERAGE(G117:G120)))</f>
        <v>???</v>
      </c>
    </row>
    <row r="117" spans="1:8">
      <c r="A117" s="76" t="s">
        <v>5971</v>
      </c>
      <c r="B117" s="37" t="str">
        <f>Language!A988</f>
        <v>Positive control is used</v>
      </c>
      <c r="C117" s="27"/>
      <c r="F117" s="29">
        <f>C117</f>
        <v>0</v>
      </c>
      <c r="G117" s="18" t="str">
        <f t="shared" ref="G117:G120" si="22">IF(F117="Yes",1,IF(F117="No",0,"'"))</f>
        <v>'</v>
      </c>
      <c r="H117" s="430"/>
    </row>
    <row r="118" spans="1:8">
      <c r="A118" s="76" t="s">
        <v>5972</v>
      </c>
      <c r="B118" s="37" t="str">
        <f>Language!A989</f>
        <v>Negative control is used</v>
      </c>
      <c r="C118" s="27"/>
      <c r="F118" s="29">
        <f>C118</f>
        <v>0</v>
      </c>
      <c r="G118" s="18" t="str">
        <f t="shared" si="22"/>
        <v>'</v>
      </c>
      <c r="H118" s="430"/>
    </row>
    <row r="119" spans="1:8">
      <c r="A119" s="76" t="s">
        <v>5973</v>
      </c>
      <c r="B119" s="37" t="str">
        <f>Language!A990</f>
        <v>QC is performed on each new batch/lot number</v>
      </c>
      <c r="C119" s="27"/>
      <c r="F119" s="29">
        <f>C119</f>
        <v>0</v>
      </c>
      <c r="G119" s="18" t="str">
        <f t="shared" si="22"/>
        <v>'</v>
      </c>
      <c r="H119" s="430"/>
    </row>
    <row r="120" spans="1:8">
      <c r="A120" s="76" t="s">
        <v>5974</v>
      </c>
      <c r="B120" s="37" t="str">
        <f>Language!A991</f>
        <v>QC is performed using ATCC or ATCC-derivative strains</v>
      </c>
      <c r="C120" s="27"/>
      <c r="F120" s="29">
        <f>C120</f>
        <v>0</v>
      </c>
      <c r="G120" s="18" t="str">
        <f t="shared" si="22"/>
        <v>'</v>
      </c>
      <c r="H120" s="430"/>
    </row>
    <row r="121" spans="1:8">
      <c r="A121" s="10"/>
      <c r="B121" s="24" t="str">
        <f>Language!A1011</f>
        <v>Gelatin hydrolysis</v>
      </c>
      <c r="C121" s="74" t="str">
        <f>IF(COUNTBLANK(C122:C125)=4,"???",IF(COUNT(G122:G125)=0,"NA",AVERAGE(G122:G125)))</f>
        <v>???</v>
      </c>
    </row>
    <row r="122" spans="1:8">
      <c r="A122" s="76" t="s">
        <v>5975</v>
      </c>
      <c r="B122" s="37" t="str">
        <f>Language!A988</f>
        <v>Positive control is used</v>
      </c>
      <c r="C122" s="27"/>
      <c r="F122" s="29">
        <f>C122</f>
        <v>0</v>
      </c>
      <c r="G122" s="18" t="str">
        <f t="shared" ref="G122:G125" si="23">IF(F122="Yes",1,IF(F122="No",0,"'"))</f>
        <v>'</v>
      </c>
      <c r="H122" s="430"/>
    </row>
    <row r="123" spans="1:8">
      <c r="A123" s="76" t="s">
        <v>5976</v>
      </c>
      <c r="B123" s="37" t="str">
        <f>Language!A989</f>
        <v>Negative control is used</v>
      </c>
      <c r="C123" s="27"/>
      <c r="F123" s="29">
        <f>C123</f>
        <v>0</v>
      </c>
      <c r="G123" s="18" t="str">
        <f t="shared" si="23"/>
        <v>'</v>
      </c>
      <c r="H123" s="430"/>
    </row>
    <row r="124" spans="1:8">
      <c r="A124" s="76" t="s">
        <v>5977</v>
      </c>
      <c r="B124" s="37" t="str">
        <f>Language!A990</f>
        <v>QC is performed on each new batch/lot number</v>
      </c>
      <c r="C124" s="27"/>
      <c r="F124" s="29">
        <f>C124</f>
        <v>0</v>
      </c>
      <c r="G124" s="18" t="str">
        <f t="shared" si="23"/>
        <v>'</v>
      </c>
      <c r="H124" s="430"/>
    </row>
    <row r="125" spans="1:8">
      <c r="A125" s="76" t="s">
        <v>5978</v>
      </c>
      <c r="B125" s="37" t="str">
        <f>Language!A991</f>
        <v>QC is performed using ATCC or ATCC-derivative strains</v>
      </c>
      <c r="C125" s="27"/>
      <c r="F125" s="29">
        <f>C125</f>
        <v>0</v>
      </c>
      <c r="G125" s="18" t="str">
        <f t="shared" si="23"/>
        <v>'</v>
      </c>
      <c r="H125" s="430"/>
    </row>
    <row r="126" spans="1:8">
      <c r="A126" s="10"/>
      <c r="B126" s="24" t="str">
        <f>Language!A1012</f>
        <v xml:space="preserve">Chloramphenicol resistance (disk) </v>
      </c>
      <c r="C126" s="74" t="str">
        <f>IF(COUNTBLANK(C127:C130)=4,"???",IF(COUNT(G127:G130)=0,"NA",AVERAGE(G127:G130)))</f>
        <v>???</v>
      </c>
    </row>
    <row r="127" spans="1:8">
      <c r="A127" s="76" t="s">
        <v>5979</v>
      </c>
      <c r="B127" s="37" t="str">
        <f>Language!A988</f>
        <v>Positive control is used</v>
      </c>
      <c r="C127" s="27"/>
      <c r="F127" s="29">
        <f>C127</f>
        <v>0</v>
      </c>
      <c r="G127" s="18" t="str">
        <f t="shared" ref="G127:G130" si="24">IF(F127="Yes",1,IF(F127="No",0,"'"))</f>
        <v>'</v>
      </c>
      <c r="H127" s="430"/>
    </row>
    <row r="128" spans="1:8">
      <c r="A128" s="76" t="s">
        <v>5980</v>
      </c>
      <c r="B128" s="37" t="str">
        <f>Language!A989</f>
        <v>Negative control is used</v>
      </c>
      <c r="C128" s="27"/>
      <c r="F128" s="29">
        <f>C128</f>
        <v>0</v>
      </c>
      <c r="G128" s="18" t="str">
        <f t="shared" si="24"/>
        <v>'</v>
      </c>
      <c r="H128" s="430"/>
    </row>
    <row r="129" spans="1:8">
      <c r="A129" s="76" t="s">
        <v>5981</v>
      </c>
      <c r="B129" s="37" t="str">
        <f>Language!A990</f>
        <v>QC is performed on each new batch/lot number</v>
      </c>
      <c r="C129" s="27"/>
      <c r="F129" s="29">
        <f>C129</f>
        <v>0</v>
      </c>
      <c r="G129" s="18" t="str">
        <f t="shared" si="24"/>
        <v>'</v>
      </c>
      <c r="H129" s="430"/>
    </row>
    <row r="130" spans="1:8">
      <c r="A130" s="76" t="s">
        <v>5982</v>
      </c>
      <c r="B130" s="37" t="str">
        <f>Language!A991</f>
        <v>QC is performed using ATCC or ATCC-derivative strains</v>
      </c>
      <c r="C130" s="27"/>
      <c r="F130" s="29">
        <f>C130</f>
        <v>0</v>
      </c>
      <c r="G130" s="18" t="str">
        <f t="shared" si="24"/>
        <v>'</v>
      </c>
      <c r="H130" s="430"/>
    </row>
    <row r="131" spans="1:8">
      <c r="A131" s="10"/>
      <c r="B131" s="24" t="str">
        <f>Language!A1013</f>
        <v>Growth at 42°C</v>
      </c>
      <c r="C131" s="74" t="str">
        <f>IF(COUNTBLANK(C132:C135)=4,"???",IF(COUNT(G132:G135)=0,"NA",AVERAGE(G132:G135)))</f>
        <v>???</v>
      </c>
    </row>
    <row r="132" spans="1:8">
      <c r="A132" s="76" t="s">
        <v>5983</v>
      </c>
      <c r="B132" s="37" t="str">
        <f>Language!A988</f>
        <v>Positive control is used</v>
      </c>
      <c r="C132" s="27"/>
      <c r="F132" s="29">
        <f>C132</f>
        <v>0</v>
      </c>
      <c r="G132" s="18" t="str">
        <f t="shared" ref="G132:G135" si="25">IF(F132="Yes",1,IF(F132="No",0,"'"))</f>
        <v>'</v>
      </c>
      <c r="H132" s="430"/>
    </row>
    <row r="133" spans="1:8">
      <c r="A133" s="76" t="s">
        <v>5984</v>
      </c>
      <c r="B133" s="37" t="str">
        <f>Language!A989</f>
        <v>Negative control is used</v>
      </c>
      <c r="C133" s="27"/>
      <c r="F133" s="29">
        <f>C133</f>
        <v>0</v>
      </c>
      <c r="G133" s="18" t="str">
        <f t="shared" si="25"/>
        <v>'</v>
      </c>
      <c r="H133" s="430"/>
    </row>
    <row r="134" spans="1:8">
      <c r="A134" s="76" t="s">
        <v>5985</v>
      </c>
      <c r="B134" s="37" t="str">
        <f>Language!A990</f>
        <v>QC is performed on each new batch/lot number</v>
      </c>
      <c r="C134" s="27"/>
      <c r="F134" s="29">
        <f>C134</f>
        <v>0</v>
      </c>
      <c r="G134" s="18" t="str">
        <f t="shared" si="25"/>
        <v>'</v>
      </c>
      <c r="H134" s="430"/>
    </row>
    <row r="135" spans="1:8">
      <c r="A135" s="76" t="s">
        <v>5986</v>
      </c>
      <c r="B135" s="37" t="str">
        <f>Language!A991</f>
        <v>QC is performed using ATCC or ATCC-derivative strains</v>
      </c>
      <c r="C135" s="27"/>
      <c r="F135" s="29">
        <f>C135</f>
        <v>0</v>
      </c>
      <c r="G135" s="18" t="str">
        <f t="shared" si="25"/>
        <v>'</v>
      </c>
      <c r="H135" s="430"/>
    </row>
    <row r="136" spans="1:8" ht="20.55" customHeight="1">
      <c r="A136" s="10"/>
      <c r="B136" s="552" t="str">
        <f>Language!A1014</f>
        <v>Standard: CAP MIC.21624 Positive and negative controls must be tested and recorded for all differential test procedures. Controls must be performed and recorded at the specific periodic intervals listed for the tests.</v>
      </c>
    </row>
    <row r="137" spans="1:8" ht="16.2" thickBot="1">
      <c r="A137" s="10"/>
      <c r="B137" s="48"/>
      <c r="H137" s="169"/>
    </row>
    <row r="138" spans="1:8" ht="16.2" thickBot="1">
      <c r="A138" s="160"/>
      <c r="B138" s="83" t="str">
        <f>Language!A1015</f>
        <v>QC OF ENTERIC SEROLOGY</v>
      </c>
      <c r="C138" s="72" t="str">
        <f>IF((OR(C141="???",C146="???")),"???",IF(COUNT(G142:G150)=0,"NA",AVERAGE(G142:G150)))</f>
        <v>???</v>
      </c>
      <c r="H138" s="427"/>
    </row>
    <row r="139" spans="1:8" ht="27.6" customHeight="1">
      <c r="A139" s="10"/>
      <c r="B139" s="8" t="str">
        <f>Language!A1016</f>
        <v>Indicate whether the following aspects of QC for Salmonella and/or Shigella serology reagents are performed.</v>
      </c>
    </row>
    <row r="140" spans="1:8" ht="16.2" thickBot="1">
      <c r="A140" s="10"/>
      <c r="B140" s="439" t="str">
        <f>Language!A1017</f>
        <v xml:space="preserve"> If serology testing is not performed, check NA.</v>
      </c>
      <c r="H140" s="169"/>
    </row>
    <row r="141" spans="1:8" ht="16.2" thickBot="1">
      <c r="A141" s="10"/>
      <c r="B141" s="45" t="str">
        <f>Language!A1018</f>
        <v>Shigella serogoup</v>
      </c>
      <c r="C141" s="74" t="str">
        <f>IF(COUNTBLANK(C142:C145)=4,"???",IF(COUNT(G142:G145)=0,"NA",AVERAGE(G142:G145)))</f>
        <v>???</v>
      </c>
      <c r="H141" s="427"/>
    </row>
    <row r="142" spans="1:8">
      <c r="A142" s="76" t="s">
        <v>5987</v>
      </c>
      <c r="B142" s="37" t="str">
        <f>Language!A1019</f>
        <v>Positive control is used</v>
      </c>
      <c r="C142" s="27"/>
      <c r="F142" s="29">
        <f>C142</f>
        <v>0</v>
      </c>
      <c r="G142" s="18" t="str">
        <f t="shared" ref="G142:G145" si="26">IF(F142="Yes",1,IF(F142="No",0,"'"))</f>
        <v>'</v>
      </c>
      <c r="H142" s="503"/>
    </row>
    <row r="143" spans="1:8">
      <c r="A143" s="76" t="s">
        <v>5988</v>
      </c>
      <c r="B143" s="37" t="str">
        <f>Language!A1020</f>
        <v>Negative control is used</v>
      </c>
      <c r="C143" s="27"/>
      <c r="F143" s="29">
        <f>C143</f>
        <v>0</v>
      </c>
      <c r="G143" s="18" t="str">
        <f t="shared" si="26"/>
        <v>'</v>
      </c>
      <c r="H143" s="430"/>
    </row>
    <row r="144" spans="1:8">
      <c r="A144" s="76" t="s">
        <v>5989</v>
      </c>
      <c r="B144" s="37" t="str">
        <f>Language!A1021</f>
        <v>QC is performed on each new batch/lot number</v>
      </c>
      <c r="C144" s="27"/>
      <c r="F144" s="29">
        <f>C144</f>
        <v>0</v>
      </c>
      <c r="G144" s="18" t="str">
        <f t="shared" si="26"/>
        <v>'</v>
      </c>
      <c r="H144" s="430"/>
    </row>
    <row r="145" spans="1:9" ht="16.2" thickBot="1">
      <c r="A145" s="76" t="s">
        <v>5990</v>
      </c>
      <c r="B145" s="37" t="str">
        <f>Language!A1022</f>
        <v>QC is performed using ATCC or ATCC-derivative strains</v>
      </c>
      <c r="C145" s="27"/>
      <c r="F145" s="29">
        <f>C145</f>
        <v>0</v>
      </c>
      <c r="G145" s="18" t="str">
        <f t="shared" si="26"/>
        <v>'</v>
      </c>
      <c r="H145" s="430"/>
    </row>
    <row r="146" spans="1:9" ht="16.2" thickBot="1">
      <c r="A146" s="10"/>
      <c r="B146" s="45" t="str">
        <f>Language!A1023</f>
        <v>Salmonella serotype</v>
      </c>
      <c r="C146" s="74" t="str">
        <f>IF(COUNTBLANK(C147:C150)=4,"???",IF(COUNT(G147:G150)=0,"NA",AVERAGE(G147:G150)))</f>
        <v>???</v>
      </c>
      <c r="H146" s="427"/>
    </row>
    <row r="147" spans="1:9">
      <c r="A147" s="76" t="s">
        <v>5991</v>
      </c>
      <c r="B147" s="37" t="str">
        <f>Language!A1024</f>
        <v>Positive control is used</v>
      </c>
      <c r="C147" s="27"/>
      <c r="F147" s="29">
        <f>C147</f>
        <v>0</v>
      </c>
      <c r="G147" s="18" t="str">
        <f t="shared" ref="G147:G150" si="27">IF(F147="Yes",1,IF(F147="No",0,"'"))</f>
        <v>'</v>
      </c>
      <c r="H147" s="430"/>
    </row>
    <row r="148" spans="1:9">
      <c r="A148" s="76" t="s">
        <v>5992</v>
      </c>
      <c r="B148" s="37" t="str">
        <f>Language!A1025</f>
        <v>Negative control is used</v>
      </c>
      <c r="C148" s="27"/>
      <c r="F148" s="29">
        <f>C148</f>
        <v>0</v>
      </c>
      <c r="G148" s="18" t="str">
        <f t="shared" si="27"/>
        <v>'</v>
      </c>
      <c r="H148" s="430"/>
    </row>
    <row r="149" spans="1:9">
      <c r="A149" s="76" t="s">
        <v>5993</v>
      </c>
      <c r="B149" s="37" t="str">
        <f>Language!A1026</f>
        <v>QC is performed on each new batch/lot number</v>
      </c>
      <c r="C149" s="27"/>
      <c r="F149" s="29">
        <f>C149</f>
        <v>0</v>
      </c>
      <c r="G149" s="18" t="str">
        <f t="shared" si="27"/>
        <v>'</v>
      </c>
      <c r="H149" s="430"/>
    </row>
    <row r="150" spans="1:9">
      <c r="A150" s="76" t="s">
        <v>5994</v>
      </c>
      <c r="B150" s="37" t="str">
        <f>Language!A1027</f>
        <v>QC is performed using ATCC or ATCC-derivative strains</v>
      </c>
      <c r="C150" s="27"/>
      <c r="F150" s="29">
        <f>C150</f>
        <v>0</v>
      </c>
      <c r="G150" s="18" t="str">
        <f t="shared" si="27"/>
        <v>'</v>
      </c>
      <c r="H150" s="430"/>
    </row>
    <row r="151" spans="1:9" ht="16.2" thickBot="1">
      <c r="A151" s="10"/>
      <c r="B151" s="20"/>
      <c r="C151" s="20"/>
      <c r="F151" s="29"/>
      <c r="G151" s="18"/>
      <c r="H151" s="127"/>
    </row>
    <row r="152" spans="1:9" ht="16.2" thickBot="1">
      <c r="A152" s="160"/>
      <c r="B152" s="83" t="str">
        <f>Language!A1028</f>
        <v>QC OF COMMERCIAL ID KITS and AUTOMATED ID SYSTEMS</v>
      </c>
      <c r="C152" s="72" t="str">
        <f>IF(COUNTBLANK(C155:C162)=8,"???",IF(COUNT(G155:G162)=0,"NA",AVERAGE(G155:G162)))</f>
        <v>???</v>
      </c>
      <c r="F152" s="29"/>
      <c r="G152" s="18"/>
      <c r="H152" s="427"/>
    </row>
    <row r="153" spans="1:9" ht="27.6" customHeight="1">
      <c r="A153" s="10"/>
      <c r="B153" s="20" t="str">
        <f>Language!A1029</f>
        <v xml:space="preserve">Review QC records for commercial organism identification kits (e.g., API, Liofilchem, RapID) </v>
      </c>
      <c r="C153" s="22"/>
      <c r="F153" s="22"/>
    </row>
    <row r="154" spans="1:9">
      <c r="A154" s="10"/>
      <c r="B154" s="439" t="str">
        <f>Language!A1030</f>
        <v>Check NA if the lab does not use any commercial test kits for organism ID</v>
      </c>
      <c r="C154" s="22"/>
      <c r="F154" s="22"/>
    </row>
    <row r="155" spans="1:9" ht="27.6">
      <c r="A155" s="76" t="s">
        <v>5995</v>
      </c>
      <c r="B155" s="37" t="str">
        <f>Language!A1031</f>
        <v xml:space="preserve">Is QC performed on every new lot number/shipment before kits are placed into use, according to manufacturer recommendations? </v>
      </c>
      <c r="C155" s="27"/>
      <c r="F155" s="29">
        <f>C155</f>
        <v>0</v>
      </c>
      <c r="G155" s="18" t="str">
        <f t="shared" ref="G155:G156" si="28">IF(F155="Yes",1,IF(F155="No",0,"'"))</f>
        <v>'</v>
      </c>
      <c r="H155" s="430"/>
    </row>
    <row r="156" spans="1:9">
      <c r="A156" s="76" t="s">
        <v>5996</v>
      </c>
      <c r="B156" s="37" t="str">
        <f>Language!A1032</f>
        <v>Is QC performed using ATCC or ATCC-derivative strains?</v>
      </c>
      <c r="C156" s="27"/>
      <c r="F156" s="29">
        <f>C156</f>
        <v>0</v>
      </c>
      <c r="G156" s="18" t="str">
        <f t="shared" si="28"/>
        <v>'</v>
      </c>
      <c r="H156" s="430"/>
      <c r="I156" s="194"/>
    </row>
    <row r="157" spans="1:9" ht="27.6" customHeight="1">
      <c r="A157" s="76" t="s">
        <v>5997</v>
      </c>
      <c r="B157" s="37" t="str">
        <f>Language!A1033</f>
        <v>Following manufacturer instructions, are all of the recommended ATCC strains in use for the identification kits?</v>
      </c>
      <c r="C157" s="27"/>
      <c r="F157" s="29">
        <f>C157</f>
        <v>0</v>
      </c>
      <c r="G157" s="18" t="str">
        <f>IF(F157=1,1,IF(F157=2,0.5,IF(F157=3,0,"'")))</f>
        <v>'</v>
      </c>
      <c r="H157" s="430"/>
      <c r="I157" s="194"/>
    </row>
    <row r="158" spans="1:9" ht="27.6" customHeight="1">
      <c r="A158" s="10"/>
      <c r="B158" s="36" t="str">
        <f>Language!A1034</f>
        <v>1: All recommended strains are used; 2: Some of the recommended strains are used; 3: None of the recommended reference strains are used; NA</v>
      </c>
      <c r="I158" s="194"/>
    </row>
    <row r="159" spans="1:9" ht="41.55" customHeight="1">
      <c r="A159" s="10"/>
      <c r="B159" s="20" t="str">
        <f>Language!A1035</f>
        <v>Review the QC records for the ID cards/trays used with automated ID instruments (e.g., Vitek, Phoenix, Microscan, etc.) Check NA if the lab does not use automated systems for organism ID</v>
      </c>
      <c r="I159" s="194"/>
    </row>
    <row r="160" spans="1:9" ht="27.6" customHeight="1">
      <c r="A160" s="76" t="s">
        <v>5998</v>
      </c>
      <c r="B160" s="37" t="str">
        <f>Language!A1036</f>
        <v>Is QC performed on every new lot number/shipment of ID cards/trays before they are placed into use?</v>
      </c>
      <c r="C160" s="27"/>
      <c r="F160" s="29">
        <f>C160</f>
        <v>0</v>
      </c>
      <c r="G160" s="18" t="str">
        <f t="shared" ref="G160:G161" si="29">IF(F160="Yes",1,IF(F160="No",0,"'"))</f>
        <v>'</v>
      </c>
      <c r="H160" s="430"/>
      <c r="I160" s="194"/>
    </row>
    <row r="161" spans="1:9">
      <c r="A161" s="76" t="s">
        <v>5999</v>
      </c>
      <c r="B161" s="37" t="str">
        <f>Language!A1037</f>
        <v>Is QC performed using ATCC or ATCC-derivative strains?</v>
      </c>
      <c r="C161" s="27"/>
      <c r="F161" s="29">
        <f>C161</f>
        <v>0</v>
      </c>
      <c r="G161" s="18" t="str">
        <f t="shared" si="29"/>
        <v>'</v>
      </c>
      <c r="H161" s="430"/>
      <c r="I161" s="194"/>
    </row>
    <row r="162" spans="1:9" ht="27.6" customHeight="1">
      <c r="A162" s="76" t="s">
        <v>6000</v>
      </c>
      <c r="B162" s="37" t="str">
        <f>Language!A1038</f>
        <v>Following manufacturer instructions, are all of the recommended ATCC strains in use for the automated instrument ID cards/trays?</v>
      </c>
      <c r="C162" s="27"/>
      <c r="F162" s="29">
        <f>C162</f>
        <v>0</v>
      </c>
      <c r="G162" s="18" t="str">
        <f>IF(F162=1,1,IF(F162=2,0.5,IF(F162=3,0,"'")))</f>
        <v>'</v>
      </c>
      <c r="H162" s="430"/>
      <c r="I162" s="194"/>
    </row>
    <row r="163" spans="1:9" ht="27.6" customHeight="1">
      <c r="A163" s="10"/>
      <c r="B163" s="36" t="str">
        <f>Language!A1039</f>
        <v>1: All recommended strains are used; 2: Some of the recommended strains are used; 3: None of the recommended reference strains are used; NA</v>
      </c>
      <c r="I163" s="194"/>
    </row>
  </sheetData>
  <sheetProtection algorithmName="SHA-256" hashValue="LRlcsx0/7DKqdCUdnHmOLoW7KV9yj6jliTBYz/ugw8I=" saltValue="N6aq5i/On0Ct0vScc3vpUw==" spinCount="100000" sheet="1" selectLockedCells="1"/>
  <phoneticPr fontId="45" type="noConversion"/>
  <conditionalFormatting sqref="C3">
    <cfRule type="cellIs" dxfId="1110" priority="393" stopIfTrue="1" operator="greaterThanOrEqual">
      <formula>0.8</formula>
    </cfRule>
    <cfRule type="cellIs" dxfId="1109" priority="395" stopIfTrue="1" operator="lessThan">
      <formula>0.5</formula>
    </cfRule>
    <cfRule type="cellIs" dxfId="1108" priority="394" stopIfTrue="1" operator="between">
      <formula>0.5</formula>
      <formula>0.799</formula>
    </cfRule>
  </conditionalFormatting>
  <conditionalFormatting sqref="C16">
    <cfRule type="cellIs" dxfId="1107" priority="459" stopIfTrue="1" operator="lessThan">
      <formula>0.5</formula>
    </cfRule>
    <cfRule type="cellIs" dxfId="1106" priority="457" stopIfTrue="1" operator="greaterThanOrEqual">
      <formula>0.8</formula>
    </cfRule>
    <cfRule type="cellIs" dxfId="1105" priority="458" stopIfTrue="1" operator="between">
      <formula>0.5</formula>
      <formula>0.799</formula>
    </cfRule>
  </conditionalFormatting>
  <conditionalFormatting sqref="C17:C20">
    <cfRule type="cellIs" dxfId="1104" priority="403" stopIfTrue="1" operator="lessThan">
      <formula>0.5</formula>
    </cfRule>
    <cfRule type="containsText" dxfId="1103" priority="402" stopIfTrue="1" operator="containsText" text="RED FLAG">
      <formula>NOT(ISERROR(SEARCH("RED FLAG",C17)))</formula>
    </cfRule>
    <cfRule type="cellIs" dxfId="1102" priority="405" stopIfTrue="1" operator="greaterThan">
      <formula>0.75</formula>
    </cfRule>
    <cfRule type="cellIs" dxfId="1101" priority="404" stopIfTrue="1" operator="between">
      <formula>0.5</formula>
      <formula>0.75</formula>
    </cfRule>
  </conditionalFormatting>
  <conditionalFormatting sqref="C21">
    <cfRule type="cellIs" dxfId="1100" priority="503" stopIfTrue="1" operator="between">
      <formula>0.5</formula>
      <formula>0.799</formula>
    </cfRule>
    <cfRule type="cellIs" dxfId="1099" priority="502" stopIfTrue="1" operator="greaterThanOrEqual">
      <formula>0.8</formula>
    </cfRule>
    <cfRule type="cellIs" dxfId="1098" priority="504" stopIfTrue="1" operator="lessThan">
      <formula>0.5</formula>
    </cfRule>
  </conditionalFormatting>
  <conditionalFormatting sqref="C26">
    <cfRule type="cellIs" dxfId="1097" priority="507" stopIfTrue="1" operator="lessThan">
      <formula>0.5</formula>
    </cfRule>
    <cfRule type="cellIs" dxfId="1096" priority="505" stopIfTrue="1" operator="greaterThanOrEqual">
      <formula>0.8</formula>
    </cfRule>
    <cfRule type="cellIs" dxfId="1095" priority="506" stopIfTrue="1" operator="between">
      <formula>0.5</formula>
      <formula>0.799</formula>
    </cfRule>
  </conditionalFormatting>
  <conditionalFormatting sqref="C31">
    <cfRule type="cellIs" dxfId="1094" priority="236" stopIfTrue="1" operator="lessThan">
      <formula>0.5</formula>
    </cfRule>
    <cfRule type="cellIs" dxfId="1093" priority="235" stopIfTrue="1" operator="between">
      <formula>0.5</formula>
      <formula>0.799</formula>
    </cfRule>
    <cfRule type="cellIs" dxfId="1092" priority="234" stopIfTrue="1" operator="greaterThanOrEqual">
      <formula>0.8</formula>
    </cfRule>
  </conditionalFormatting>
  <conditionalFormatting sqref="C36">
    <cfRule type="cellIs" dxfId="1091" priority="143" stopIfTrue="1" operator="greaterThanOrEqual">
      <formula>0.8</formula>
    </cfRule>
    <cfRule type="cellIs" dxfId="1090" priority="144" stopIfTrue="1" operator="between">
      <formula>0.5</formula>
      <formula>0.799</formula>
    </cfRule>
    <cfRule type="cellIs" dxfId="1089" priority="145" stopIfTrue="1" operator="lessThan">
      <formula>0.5</formula>
    </cfRule>
  </conditionalFormatting>
  <conditionalFormatting sqref="C41">
    <cfRule type="cellIs" dxfId="1088" priority="166" stopIfTrue="1" operator="greaterThanOrEqual">
      <formula>0.8</formula>
    </cfRule>
    <cfRule type="cellIs" dxfId="1087" priority="167" stopIfTrue="1" operator="between">
      <formula>0.5</formula>
      <formula>0.799</formula>
    </cfRule>
    <cfRule type="cellIs" dxfId="1086" priority="168" stopIfTrue="1" operator="lessThan">
      <formula>0.5</formula>
    </cfRule>
  </conditionalFormatting>
  <conditionalFormatting sqref="C46">
    <cfRule type="cellIs" dxfId="1085" priority="233" stopIfTrue="1" operator="lessThan">
      <formula>0.5</formula>
    </cfRule>
    <cfRule type="cellIs" dxfId="1084" priority="232" stopIfTrue="1" operator="between">
      <formula>0.5</formula>
      <formula>0.799</formula>
    </cfRule>
    <cfRule type="cellIs" dxfId="1083" priority="231" stopIfTrue="1" operator="greaterThanOrEqual">
      <formula>0.8</formula>
    </cfRule>
  </conditionalFormatting>
  <conditionalFormatting sqref="C51">
    <cfRule type="cellIs" dxfId="1082" priority="229" stopIfTrue="1" operator="between">
      <formula>0.5</formula>
      <formula>0.799</formula>
    </cfRule>
    <cfRule type="cellIs" dxfId="1081" priority="228" stopIfTrue="1" operator="greaterThanOrEqual">
      <formula>0.8</formula>
    </cfRule>
    <cfRule type="cellIs" dxfId="1080" priority="230" stopIfTrue="1" operator="lessThan">
      <formula>0.5</formula>
    </cfRule>
  </conditionalFormatting>
  <conditionalFormatting sqref="C56">
    <cfRule type="cellIs" dxfId="1079" priority="225" stopIfTrue="1" operator="greaterThanOrEqual">
      <formula>0.8</formula>
    </cfRule>
    <cfRule type="cellIs" dxfId="1078" priority="226" stopIfTrue="1" operator="between">
      <formula>0.5</formula>
      <formula>0.799</formula>
    </cfRule>
    <cfRule type="cellIs" dxfId="1077" priority="227" stopIfTrue="1" operator="lessThan">
      <formula>0.5</formula>
    </cfRule>
  </conditionalFormatting>
  <conditionalFormatting sqref="C61">
    <cfRule type="cellIs" dxfId="1076" priority="122" stopIfTrue="1" operator="lessThan">
      <formula>0.5</formula>
    </cfRule>
    <cfRule type="cellIs" dxfId="1075" priority="121" stopIfTrue="1" operator="between">
      <formula>0.5</formula>
      <formula>0.799</formula>
    </cfRule>
    <cfRule type="cellIs" dxfId="1074" priority="120" stopIfTrue="1" operator="greaterThanOrEqual">
      <formula>0.8</formula>
    </cfRule>
  </conditionalFormatting>
  <conditionalFormatting sqref="C66">
    <cfRule type="cellIs" dxfId="1073" priority="223" stopIfTrue="1" operator="between">
      <formula>0.5</formula>
      <formula>0.799</formula>
    </cfRule>
    <cfRule type="cellIs" dxfId="1072" priority="222" stopIfTrue="1" operator="greaterThanOrEqual">
      <formula>0.8</formula>
    </cfRule>
    <cfRule type="cellIs" dxfId="1071" priority="224" stopIfTrue="1" operator="lessThan">
      <formula>0.5</formula>
    </cfRule>
  </conditionalFormatting>
  <conditionalFormatting sqref="C71">
    <cfRule type="cellIs" dxfId="1070" priority="219" stopIfTrue="1" operator="greaterThanOrEqual">
      <formula>0.8</formula>
    </cfRule>
    <cfRule type="cellIs" dxfId="1069" priority="221" stopIfTrue="1" operator="lessThan">
      <formula>0.5</formula>
    </cfRule>
    <cfRule type="cellIs" dxfId="1068" priority="220" stopIfTrue="1" operator="between">
      <formula>0.5</formula>
      <formula>0.799</formula>
    </cfRule>
  </conditionalFormatting>
  <conditionalFormatting sqref="C76">
    <cfRule type="cellIs" dxfId="1067" priority="216" stopIfTrue="1" operator="greaterThanOrEqual">
      <formula>0.8</formula>
    </cfRule>
    <cfRule type="cellIs" dxfId="1066" priority="217" stopIfTrue="1" operator="between">
      <formula>0.5</formula>
      <formula>0.799</formula>
    </cfRule>
    <cfRule type="cellIs" dxfId="1065" priority="218" stopIfTrue="1" operator="lessThan">
      <formula>0.5</formula>
    </cfRule>
  </conditionalFormatting>
  <conditionalFormatting sqref="C81">
    <cfRule type="cellIs" dxfId="1064" priority="214" stopIfTrue="1" operator="between">
      <formula>0.5</formula>
      <formula>0.799</formula>
    </cfRule>
    <cfRule type="cellIs" dxfId="1063" priority="215" stopIfTrue="1" operator="lessThan">
      <formula>0.5</formula>
    </cfRule>
    <cfRule type="cellIs" dxfId="1062" priority="213" stopIfTrue="1" operator="greaterThanOrEqual">
      <formula>0.8</formula>
    </cfRule>
  </conditionalFormatting>
  <conditionalFormatting sqref="C86">
    <cfRule type="cellIs" dxfId="1061" priority="212" stopIfTrue="1" operator="lessThan">
      <formula>0.5</formula>
    </cfRule>
    <cfRule type="cellIs" dxfId="1060" priority="211" stopIfTrue="1" operator="between">
      <formula>0.5</formula>
      <formula>0.799</formula>
    </cfRule>
    <cfRule type="cellIs" dxfId="1059" priority="210" stopIfTrue="1" operator="greaterThanOrEqual">
      <formula>0.8</formula>
    </cfRule>
  </conditionalFormatting>
  <conditionalFormatting sqref="C91">
    <cfRule type="cellIs" dxfId="1058" priority="208" stopIfTrue="1" operator="between">
      <formula>0.5</formula>
      <formula>0.799</formula>
    </cfRule>
    <cfRule type="cellIs" dxfId="1057" priority="207" stopIfTrue="1" operator="greaterThanOrEqual">
      <formula>0.8</formula>
    </cfRule>
    <cfRule type="cellIs" dxfId="1056" priority="209" stopIfTrue="1" operator="lessThan">
      <formula>0.5</formula>
    </cfRule>
  </conditionalFormatting>
  <conditionalFormatting sqref="C96">
    <cfRule type="cellIs" dxfId="1055" priority="204" stopIfTrue="1" operator="greaterThanOrEqual">
      <formula>0.8</formula>
    </cfRule>
    <cfRule type="cellIs" dxfId="1054" priority="206" stopIfTrue="1" operator="lessThan">
      <formula>0.5</formula>
    </cfRule>
    <cfRule type="cellIs" dxfId="1053" priority="205" stopIfTrue="1" operator="between">
      <formula>0.5</formula>
      <formula>0.799</formula>
    </cfRule>
  </conditionalFormatting>
  <conditionalFormatting sqref="C101">
    <cfRule type="cellIs" dxfId="1052" priority="201" stopIfTrue="1" operator="greaterThanOrEqual">
      <formula>0.8</formula>
    </cfRule>
    <cfRule type="cellIs" dxfId="1051" priority="202" stopIfTrue="1" operator="between">
      <formula>0.5</formula>
      <formula>0.799</formula>
    </cfRule>
    <cfRule type="cellIs" dxfId="1050" priority="203" stopIfTrue="1" operator="lessThan">
      <formula>0.5</formula>
    </cfRule>
  </conditionalFormatting>
  <conditionalFormatting sqref="C106">
    <cfRule type="cellIs" dxfId="1049" priority="198" stopIfTrue="1" operator="greaterThanOrEqual">
      <formula>0.8</formula>
    </cfRule>
    <cfRule type="cellIs" dxfId="1048" priority="199" stopIfTrue="1" operator="between">
      <formula>0.5</formula>
      <formula>0.799</formula>
    </cfRule>
    <cfRule type="cellIs" dxfId="1047" priority="200" stopIfTrue="1" operator="lessThan">
      <formula>0.5</formula>
    </cfRule>
  </conditionalFormatting>
  <conditionalFormatting sqref="C111">
    <cfRule type="cellIs" dxfId="1046" priority="195" stopIfTrue="1" operator="greaterThanOrEqual">
      <formula>0.8</formula>
    </cfRule>
    <cfRule type="cellIs" dxfId="1045" priority="196" stopIfTrue="1" operator="between">
      <formula>0.5</formula>
      <formula>0.799</formula>
    </cfRule>
    <cfRule type="cellIs" dxfId="1044" priority="197" stopIfTrue="1" operator="lessThan">
      <formula>0.5</formula>
    </cfRule>
  </conditionalFormatting>
  <conditionalFormatting sqref="C116">
    <cfRule type="cellIs" dxfId="1043" priority="192" stopIfTrue="1" operator="greaterThanOrEqual">
      <formula>0.8</formula>
    </cfRule>
    <cfRule type="cellIs" dxfId="1042" priority="193" stopIfTrue="1" operator="between">
      <formula>0.5</formula>
      <formula>0.799</formula>
    </cfRule>
    <cfRule type="cellIs" dxfId="1041" priority="194" stopIfTrue="1" operator="lessThan">
      <formula>0.5</formula>
    </cfRule>
  </conditionalFormatting>
  <conditionalFormatting sqref="C121">
    <cfRule type="cellIs" dxfId="1040" priority="95" stopIfTrue="1" operator="lessThan">
      <formula>0.5</formula>
    </cfRule>
    <cfRule type="cellIs" dxfId="1039" priority="94" stopIfTrue="1" operator="between">
      <formula>0.5</formula>
      <formula>0.799</formula>
    </cfRule>
    <cfRule type="cellIs" dxfId="1038" priority="93" stopIfTrue="1" operator="greaterThanOrEqual">
      <formula>0.8</formula>
    </cfRule>
  </conditionalFormatting>
  <conditionalFormatting sqref="C126">
    <cfRule type="cellIs" dxfId="1037" priority="68" stopIfTrue="1" operator="lessThan">
      <formula>0.5</formula>
    </cfRule>
    <cfRule type="cellIs" dxfId="1036" priority="67" stopIfTrue="1" operator="between">
      <formula>0.5</formula>
      <formula>0.799</formula>
    </cfRule>
    <cfRule type="cellIs" dxfId="1035" priority="66" stopIfTrue="1" operator="greaterThanOrEqual">
      <formula>0.8</formula>
    </cfRule>
  </conditionalFormatting>
  <conditionalFormatting sqref="C131">
    <cfRule type="cellIs" dxfId="1034" priority="40" stopIfTrue="1" operator="between">
      <formula>0.5</formula>
      <formula>0.799</formula>
    </cfRule>
    <cfRule type="cellIs" dxfId="1033" priority="39" stopIfTrue="1" operator="greaterThanOrEqual">
      <formula>0.8</formula>
    </cfRule>
    <cfRule type="cellIs" dxfId="1032" priority="41" stopIfTrue="1" operator="lessThan">
      <formula>0.5</formula>
    </cfRule>
  </conditionalFormatting>
  <conditionalFormatting sqref="C138">
    <cfRule type="cellIs" dxfId="1031" priority="391" stopIfTrue="1" operator="between">
      <formula>0.5</formula>
      <formula>0.799</formula>
    </cfRule>
    <cfRule type="cellIs" dxfId="1030" priority="390" stopIfTrue="1" operator="greaterThanOrEqual">
      <formula>0.8</formula>
    </cfRule>
    <cfRule type="cellIs" dxfId="1029" priority="392" stopIfTrue="1" operator="lessThan">
      <formula>0.5</formula>
    </cfRule>
  </conditionalFormatting>
  <conditionalFormatting sqref="C141">
    <cfRule type="cellIs" dxfId="1028" priority="531" stopIfTrue="1" operator="greaterThanOrEqual">
      <formula>0.8</formula>
    </cfRule>
    <cfRule type="cellIs" dxfId="1027" priority="532" stopIfTrue="1" operator="between">
      <formula>0.5</formula>
      <formula>0.799</formula>
    </cfRule>
    <cfRule type="cellIs" dxfId="1026" priority="533" stopIfTrue="1" operator="lessThan">
      <formula>0.5</formula>
    </cfRule>
  </conditionalFormatting>
  <conditionalFormatting sqref="C146">
    <cfRule type="cellIs" dxfId="1025" priority="471" stopIfTrue="1" operator="lessThan">
      <formula>0.5</formula>
    </cfRule>
    <cfRule type="cellIs" dxfId="1024" priority="469" stopIfTrue="1" operator="greaterThanOrEqual">
      <formula>0.8</formula>
    </cfRule>
    <cfRule type="cellIs" dxfId="1023" priority="470" stopIfTrue="1" operator="between">
      <formula>0.5</formula>
      <formula>0.799</formula>
    </cfRule>
  </conditionalFormatting>
  <conditionalFormatting sqref="C152">
    <cfRule type="cellIs" dxfId="1022" priority="387" stopIfTrue="1" operator="greaterThanOrEqual">
      <formula>0.8</formula>
    </cfRule>
    <cfRule type="cellIs" dxfId="1021" priority="388" stopIfTrue="1" operator="between">
      <formula>0.5</formula>
      <formula>0.799</formula>
    </cfRule>
    <cfRule type="cellIs" dxfId="1020" priority="389" stopIfTrue="1" operator="lessThan">
      <formula>0.5</formula>
    </cfRule>
  </conditionalFormatting>
  <conditionalFormatting sqref="F16">
    <cfRule type="cellIs" dxfId="1019" priority="1332" stopIfTrue="1" operator="greaterThan">
      <formula>0.75</formula>
    </cfRule>
    <cfRule type="cellIs" dxfId="1018" priority="1331" stopIfTrue="1" operator="between">
      <formula>0.5</formula>
      <formula>0.75</formula>
    </cfRule>
    <cfRule type="cellIs" dxfId="1017" priority="1330" stopIfTrue="1" operator="lessThan">
      <formula>0.5</formula>
    </cfRule>
  </conditionalFormatting>
  <conditionalFormatting sqref="G1 F16">
    <cfRule type="containsText" dxfId="1016" priority="732" stopIfTrue="1" operator="containsText" text="RED FLAG">
      <formula>NOT(ISERROR(SEARCH("RED FLAG",F1)))</formula>
    </cfRule>
  </conditionalFormatting>
  <conditionalFormatting sqref="G3:G21">
    <cfRule type="containsText" dxfId="1015" priority="35" stopIfTrue="1" operator="containsText" text="RED FLAG">
      <formula>NOT(ISERROR(SEARCH("RED FLAG",G3)))</formula>
    </cfRule>
  </conditionalFormatting>
  <conditionalFormatting sqref="G4">
    <cfRule type="cellIs" dxfId="1014" priority="1284" stopIfTrue="1" operator="greaterThan">
      <formula>0.75</formula>
    </cfRule>
    <cfRule type="cellIs" dxfId="1013" priority="1283" stopIfTrue="1" operator="between">
      <formula>0.5</formula>
      <formula>0.75</formula>
    </cfRule>
    <cfRule type="cellIs" dxfId="1012" priority="1282" stopIfTrue="1" operator="lessThan">
      <formula>0.5</formula>
    </cfRule>
  </conditionalFormatting>
  <conditionalFormatting sqref="G7 G9:G20">
    <cfRule type="cellIs" dxfId="1011" priority="38" stopIfTrue="1" operator="greaterThan">
      <formula>0.75</formula>
    </cfRule>
    <cfRule type="cellIs" dxfId="1010" priority="37" stopIfTrue="1" operator="between">
      <formula>0.5</formula>
      <formula>0.75</formula>
    </cfRule>
    <cfRule type="cellIs" dxfId="1009" priority="36" stopIfTrue="1" operator="lessThan">
      <formula>0.5</formula>
    </cfRule>
  </conditionalFormatting>
  <conditionalFormatting sqref="G10:G13">
    <cfRule type="cellIs" dxfId="1008" priority="34" stopIfTrue="1" operator="greaterThan">
      <formula>0.75</formula>
    </cfRule>
    <cfRule type="cellIs" dxfId="1007" priority="33" stopIfTrue="1" operator="between">
      <formula>0.5</formula>
      <formula>0.75</formula>
    </cfRule>
    <cfRule type="cellIs" dxfId="1006" priority="32" stopIfTrue="1" operator="lessThan">
      <formula>0.5</formula>
    </cfRule>
  </conditionalFormatting>
  <conditionalFormatting sqref="G22:G25 G27:G30 G32:G35 G37:G40 G42:G45 G47:G50 G52:G55 G57:G60 G62:G65 G67:G70 G72:G75 G77:G80 G82:G85 G87:G90 G92:G95 G97:G100 G102:G105 G107:G110 G112:G115 G117:G120 G122:G125 G127:G130 G132:G135">
    <cfRule type="cellIs" dxfId="1005" priority="29" stopIfTrue="1" operator="lessThan">
      <formula>0.5</formula>
    </cfRule>
    <cfRule type="cellIs" dxfId="1004" priority="31" stopIfTrue="1" operator="greaterThan">
      <formula>0.75</formula>
    </cfRule>
    <cfRule type="cellIs" dxfId="1003" priority="30" stopIfTrue="1" operator="between">
      <formula>0.5</formula>
      <formula>0.75</formula>
    </cfRule>
  </conditionalFormatting>
  <conditionalFormatting sqref="G22:G152">
    <cfRule type="containsText" dxfId="1002" priority="24" stopIfTrue="1" operator="containsText" text="RED FLAG">
      <formula>NOT(ISERROR(SEARCH("RED FLAG",G22)))</formula>
    </cfRule>
  </conditionalFormatting>
  <conditionalFormatting sqref="G142:G145 G147:G152">
    <cfRule type="cellIs" dxfId="1001" priority="25" stopIfTrue="1" operator="lessThan">
      <formula>0.5</formula>
    </cfRule>
    <cfRule type="cellIs" dxfId="1000" priority="27" stopIfTrue="1" operator="greaterThan">
      <formula>0.75</formula>
    </cfRule>
    <cfRule type="cellIs" dxfId="999" priority="26" stopIfTrue="1" operator="between">
      <formula>0.5</formula>
      <formula>0.75</formula>
    </cfRule>
  </conditionalFormatting>
  <conditionalFormatting sqref="G155:G157 G160:G161">
    <cfRule type="cellIs" dxfId="998" priority="23" stopIfTrue="1" operator="greaterThan">
      <formula>0.75</formula>
    </cfRule>
    <cfRule type="cellIs" dxfId="997" priority="22" stopIfTrue="1" operator="between">
      <formula>0.5</formula>
      <formula>0.75</formula>
    </cfRule>
    <cfRule type="cellIs" dxfId="996" priority="21" stopIfTrue="1" operator="lessThan">
      <formula>0.5</formula>
    </cfRule>
  </conditionalFormatting>
  <conditionalFormatting sqref="G155:G161">
    <cfRule type="containsText" dxfId="995" priority="20" stopIfTrue="1" operator="containsText" text="RED FLAG">
      <formula>NOT(ISERROR(SEARCH("RED FLAG",G155)))</formula>
    </cfRule>
  </conditionalFormatting>
  <conditionalFormatting sqref="G157">
    <cfRule type="cellIs" dxfId="994" priority="19" stopIfTrue="1" operator="greaterThan">
      <formula>0.75</formula>
    </cfRule>
    <cfRule type="cellIs" dxfId="993" priority="18" stopIfTrue="1" operator="between">
      <formula>0.5</formula>
      <formula>0.75</formula>
    </cfRule>
    <cfRule type="cellIs" dxfId="992" priority="17" stopIfTrue="1" operator="lessThan">
      <formula>0.5</formula>
    </cfRule>
    <cfRule type="cellIs" dxfId="991" priority="16" stopIfTrue="1" operator="greaterThan">
      <formula>0.75</formula>
    </cfRule>
    <cfRule type="cellIs" dxfId="990" priority="15" stopIfTrue="1" operator="between">
      <formula>0.5</formula>
      <formula>0.75</formula>
    </cfRule>
    <cfRule type="cellIs" dxfId="989" priority="14" stopIfTrue="1" operator="lessThan">
      <formula>0.5</formula>
    </cfRule>
  </conditionalFormatting>
  <conditionalFormatting sqref="G162">
    <cfRule type="cellIs" dxfId="988" priority="11" stopIfTrue="1" operator="lessThan">
      <formula>0.5</formula>
    </cfRule>
    <cfRule type="cellIs" dxfId="987" priority="5" stopIfTrue="1" operator="between">
      <formula>0.5</formula>
      <formula>0.75</formula>
    </cfRule>
    <cfRule type="cellIs" dxfId="986" priority="13" stopIfTrue="1" operator="greaterThan">
      <formula>0.75</formula>
    </cfRule>
    <cfRule type="cellIs" dxfId="985" priority="6" stopIfTrue="1" operator="greaterThan">
      <formula>0.75</formula>
    </cfRule>
    <cfRule type="cellIs" dxfId="984" priority="4" stopIfTrue="1" operator="lessThan">
      <formula>0.5</formula>
    </cfRule>
    <cfRule type="cellIs" dxfId="983" priority="7" stopIfTrue="1" operator="lessThan">
      <formula>0.5</formula>
    </cfRule>
    <cfRule type="cellIs" dxfId="982" priority="8" stopIfTrue="1" operator="between">
      <formula>0.5</formula>
      <formula>0.75</formula>
    </cfRule>
    <cfRule type="cellIs" dxfId="981" priority="9" stopIfTrue="1" operator="greaterThan">
      <formula>0.75</formula>
    </cfRule>
    <cfRule type="cellIs" dxfId="980" priority="12" stopIfTrue="1" operator="between">
      <formula>0.5</formula>
      <formula>0.75</formula>
    </cfRule>
  </conditionalFormatting>
  <conditionalFormatting sqref="G162:G1048576">
    <cfRule type="containsText" dxfId="979" priority="10" stopIfTrue="1" operator="containsText" text="RED FLAG">
      <formula>NOT(ISERROR(SEARCH("RED FLAG",G162)))</formula>
    </cfRule>
  </conditionalFormatting>
  <dataValidations count="4">
    <dataValidation type="list" allowBlank="1" showInputMessage="1" showErrorMessage="1" sqref="C4 C10:C13" xr:uid="{00000000-0002-0000-0A00-000000000000}">
      <formula1>"1,2,3"</formula1>
    </dataValidation>
    <dataValidation type="list" allowBlank="1" showInputMessage="1" showErrorMessage="1" sqref="C162 C157" xr:uid="{00000000-0002-0000-0A00-000001000000}">
      <formula1>"1,2,3,NA"</formula1>
    </dataValidation>
    <dataValidation type="list" allowBlank="1" showInputMessage="1" showErrorMessage="1" sqref="C14 C7" xr:uid="{00000000-0002-0000-0A00-000002000000}">
      <formula1>"Yes,No"</formula1>
    </dataValidation>
    <dataValidation type="list" allowBlank="1" showInputMessage="1" showErrorMessage="1" sqref="C62:C65 C37:C40 C27:C30 C72:C75 C82:C85 C77:C80 C92:C95 C87:C90 C102:C105 C97:C100 C107:C110 C142:C145 C160:C161 C67:C70 C22:C25 C112:C115 C155:C156 C47:C50 C52:C55 C147:C150 C42:C45 C32:C35 C57:C60 C117:C120 C122:C125 C127:C130 C132:C135" xr:uid="{00000000-0002-0000-0A00-000003000000}">
      <formula1>"Yes,No,NA"</formula1>
    </dataValidation>
  </dataValidations>
  <pageMargins left="0.25" right="0.25" top="0.75000000000000011" bottom="0.75000000000000011" header="0.30000000000000004" footer="0.30000000000000004"/>
  <pageSetup paperSize="9" scale="94" fitToHeight="6" orientation="landscape" r:id="rId1"/>
  <headerFooter>
    <oddFooter>&amp;C&amp;A -&amp;P</oddFooter>
  </headerFooter>
  <rowBreaks count="5" manualBreakCount="5">
    <brk id="30" max="16383" man="1"/>
    <brk id="60" max="16383" man="1"/>
    <brk id="90" max="16383" man="1"/>
    <brk id="120" max="16383" man="1"/>
    <brk id="15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0070C0"/>
    <pageSetUpPr fitToPage="1"/>
  </sheetPr>
  <dimension ref="A1:K81"/>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1" customWidth="1"/>
    <col min="9" max="9" width="9.69921875" style="22" customWidth="1"/>
    <col min="10" max="16384" width="11" style="22"/>
  </cols>
  <sheetData>
    <row r="1" spans="1:11">
      <c r="A1" s="10"/>
      <c r="B1" s="43" t="str">
        <f>Language!A1040</f>
        <v>7- QUALITY CONTROL - AST METHODS</v>
      </c>
      <c r="C1" s="51" t="str">
        <f>IF(COUNT(G3:G377)=0,"???",AVERAGE(G3:G377))</f>
        <v>???</v>
      </c>
      <c r="H1" s="192" t="str">
        <f>'Facility 1'!H1</f>
        <v>Comments</v>
      </c>
    </row>
    <row r="2" spans="1:11" ht="16.2" thickBot="1">
      <c r="A2" s="16"/>
      <c r="B2" s="444"/>
      <c r="C2" s="227"/>
      <c r="D2" s="487"/>
      <c r="E2" s="194"/>
      <c r="F2" s="194"/>
      <c r="G2" s="194"/>
      <c r="H2" s="444"/>
      <c r="J2" s="194"/>
      <c r="K2" s="194"/>
    </row>
    <row r="3" spans="1:11" ht="16.2" thickBot="1">
      <c r="A3" s="160"/>
      <c r="B3" s="83" t="str">
        <f>Language!A1041</f>
        <v>ROUTINE AST REFERENCE STRAINS</v>
      </c>
      <c r="C3" s="72" t="str">
        <f>IF(COUNTBLANK(C5:C16)=12,"???",IF(COUNT(G5:G16)=0,"NA",AVERAGE(G5:G16)))</f>
        <v>???</v>
      </c>
      <c r="H3" s="427"/>
    </row>
    <row r="4" spans="1:11">
      <c r="A4" s="10"/>
      <c r="B4" s="8" t="str">
        <f>Language!A1042</f>
        <v>Does the lab have the following ATCC reference strains in stock? (CIP equivalents are also shown)</v>
      </c>
      <c r="F4" s="22"/>
    </row>
    <row r="5" spans="1:11">
      <c r="A5" s="10" t="s">
        <v>6001</v>
      </c>
      <c r="B5" s="37" t="str">
        <f>Language!A1043</f>
        <v>Staphylococcus aureus ATCC 25923/CIP 76.25 (If CLSI standard used)</v>
      </c>
      <c r="C5" s="27"/>
      <c r="D5" s="501"/>
      <c r="E5" s="501"/>
      <c r="F5" s="40">
        <f t="shared" ref="F5:F10" si="0">C5</f>
        <v>0</v>
      </c>
      <c r="G5" s="18" t="str">
        <f t="shared" ref="G5:G16" si="1">IF(F5="Yes",1,IF(F5="No",0,"'"))</f>
        <v>'</v>
      </c>
      <c r="H5" s="416"/>
      <c r="I5" s="486"/>
    </row>
    <row r="6" spans="1:11">
      <c r="A6" s="10" t="s">
        <v>6002</v>
      </c>
      <c r="B6" s="37" t="str">
        <f>Language!A1044</f>
        <v>Staphylococcus aureus ATCC 29213/CIP 103429 (If EUCAST standard used)</v>
      </c>
      <c r="C6" s="27"/>
      <c r="D6" s="501"/>
      <c r="E6" s="501"/>
      <c r="F6" s="40">
        <f t="shared" si="0"/>
        <v>0</v>
      </c>
      <c r="G6" s="18" t="str">
        <f t="shared" si="1"/>
        <v>'</v>
      </c>
      <c r="H6" s="416"/>
      <c r="I6" s="486"/>
    </row>
    <row r="7" spans="1:11" ht="27.6" customHeight="1">
      <c r="A7" s="10" t="s">
        <v>6003</v>
      </c>
      <c r="B7" s="37" t="str">
        <f>Language!A1045</f>
        <v>Enterococcus faecalis ATCC 29212/CIP 103214 (to assess suitability of MHA for trimethoprim-sulfonamide tests)</v>
      </c>
      <c r="C7" s="27"/>
      <c r="D7" s="501"/>
      <c r="E7" s="501"/>
      <c r="F7" s="40">
        <f t="shared" si="0"/>
        <v>0</v>
      </c>
      <c r="G7" s="18" t="str">
        <f t="shared" si="1"/>
        <v>'</v>
      </c>
      <c r="H7" s="416"/>
      <c r="I7" s="486"/>
    </row>
    <row r="8" spans="1:11">
      <c r="A8" s="10" t="s">
        <v>6004</v>
      </c>
      <c r="B8" s="37" t="str">
        <f>Language!A1046</f>
        <v>Streptococcus pneumoniae ATCC 49619</v>
      </c>
      <c r="C8" s="27"/>
      <c r="D8" s="501"/>
      <c r="E8" s="501"/>
      <c r="F8" s="40">
        <f t="shared" si="0"/>
        <v>0</v>
      </c>
      <c r="G8" s="18" t="str">
        <f t="shared" si="1"/>
        <v>'</v>
      </c>
      <c r="H8" s="416"/>
      <c r="I8" s="486"/>
    </row>
    <row r="9" spans="1:11">
      <c r="A9" s="10" t="s">
        <v>6005</v>
      </c>
      <c r="B9" s="37" t="str">
        <f>Language!A1047</f>
        <v>E. coli ATCC 25922/CIP 76.24</v>
      </c>
      <c r="C9" s="27"/>
      <c r="D9" s="501"/>
      <c r="E9" s="501"/>
      <c r="F9" s="40">
        <f t="shared" si="0"/>
        <v>0</v>
      </c>
      <c r="G9" s="18" t="str">
        <f t="shared" si="1"/>
        <v>'</v>
      </c>
      <c r="H9" s="416"/>
      <c r="I9" s="486"/>
    </row>
    <row r="10" spans="1:11">
      <c r="A10" s="10" t="s">
        <v>6006</v>
      </c>
      <c r="B10" s="37" t="str">
        <f>Language!A1048</f>
        <v>Pseudomonas aeruginosa ATCC 27853/CIP 76.110</v>
      </c>
      <c r="C10" s="27"/>
      <c r="D10" s="501"/>
      <c r="E10" s="501"/>
      <c r="F10" s="40">
        <f t="shared" si="0"/>
        <v>0</v>
      </c>
      <c r="G10" s="18" t="str">
        <f t="shared" si="1"/>
        <v>'</v>
      </c>
      <c r="H10" s="416"/>
      <c r="I10" s="486"/>
    </row>
    <row r="11" spans="1:11">
      <c r="A11" s="10"/>
      <c r="B11" s="20" t="str">
        <f>Language!A1049</f>
        <v>Are reference strains stored as follows?</v>
      </c>
      <c r="C11" s="22"/>
      <c r="F11" s="22"/>
      <c r="G11" s="18" t="str">
        <f t="shared" si="1"/>
        <v>'</v>
      </c>
    </row>
    <row r="12" spans="1:11">
      <c r="A12" s="10" t="s">
        <v>6007</v>
      </c>
      <c r="B12" s="37" t="str">
        <f>Language!A1050</f>
        <v>Reference cultures (lyophilized state, from the manufacturer) maintained at &lt;-20°C</v>
      </c>
      <c r="C12" s="27"/>
      <c r="F12" s="29">
        <f>C12</f>
        <v>0</v>
      </c>
      <c r="G12" s="18" t="str">
        <f t="shared" si="1"/>
        <v>'</v>
      </c>
      <c r="H12" s="430"/>
    </row>
    <row r="13" spans="1:11" ht="41.55" customHeight="1">
      <c r="A13" s="10" t="s">
        <v>6008</v>
      </c>
      <c r="B13" s="37" t="str">
        <f>Language!A1051</f>
        <v>Reference stock cultures (broth preparations of reference cultures) maintained at &lt;-20°C in a suitable stabilizer (10% -15% glycerol in tryptic soy broth, 50% fetal calf serum in broth, defibrinated sheep blood, or skim milk)</v>
      </c>
      <c r="C13" s="27"/>
      <c r="F13" s="29">
        <f>C13</f>
        <v>0</v>
      </c>
      <c r="G13" s="18" t="str">
        <f t="shared" si="1"/>
        <v>'</v>
      </c>
      <c r="H13" s="430"/>
    </row>
    <row r="14" spans="1:11" ht="27.6" customHeight="1">
      <c r="A14" s="10" t="s">
        <v>6009</v>
      </c>
      <c r="B14" s="37" t="str">
        <f>Language!A1052</f>
        <v>Monthly working stock culture, or "F1", stored at 2-8°C for up to 4 weeks, then discarded</v>
      </c>
      <c r="C14" s="27"/>
      <c r="F14" s="29">
        <f>C14</f>
        <v>0</v>
      </c>
      <c r="G14" s="18" t="str">
        <f t="shared" si="1"/>
        <v>'</v>
      </c>
      <c r="H14" s="430"/>
    </row>
    <row r="15" spans="1:11" ht="27.6" customHeight="1">
      <c r="A15" s="10" t="s">
        <v>6010</v>
      </c>
      <c r="B15" s="37" t="str">
        <f>Language!A1053</f>
        <v>Weekly working stock culture, or “F2”, stored at 2-8°C for up to 1 week, then discarded</v>
      </c>
      <c r="C15" s="27"/>
      <c r="F15" s="29">
        <f>C15</f>
        <v>0</v>
      </c>
      <c r="G15" s="18" t="str">
        <f t="shared" si="1"/>
        <v>'</v>
      </c>
      <c r="H15" s="430"/>
    </row>
    <row r="16" spans="1:11">
      <c r="A16" s="10" t="s">
        <v>6011</v>
      </c>
      <c r="B16" s="37" t="str">
        <f>Language!A1054</f>
        <v>Daily subculture, or “F3”, discarded after one day of use.</v>
      </c>
      <c r="C16" s="27"/>
      <c r="F16" s="29">
        <f>C16</f>
        <v>0</v>
      </c>
      <c r="G16" s="18" t="str">
        <f t="shared" si="1"/>
        <v>'</v>
      </c>
      <c r="H16" s="430"/>
    </row>
    <row r="17" spans="1:9" ht="22.95" customHeight="1">
      <c r="A17" s="10"/>
      <c r="B17" s="623" t="str">
        <f>Language!A1055</f>
        <v>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v>
      </c>
      <c r="C17" s="624"/>
      <c r="D17" s="624"/>
      <c r="E17" s="624"/>
      <c r="F17" s="624"/>
      <c r="G17" s="624"/>
      <c r="H17" s="624"/>
    </row>
    <row r="18" spans="1:9" ht="16.2" thickBot="1">
      <c r="A18" s="10"/>
    </row>
    <row r="19" spans="1:9" ht="16.2" thickBot="1">
      <c r="A19" s="160"/>
      <c r="B19" s="83" t="str">
        <f>Language!A1056</f>
        <v>SPECIAL AST REFERENCE STRAINS</v>
      </c>
      <c r="C19" s="72" t="str">
        <f>IF(COUNTBLANK(C21:C31)=11,"???",IF(COUNT(G21:G31)=0,"NA",AVERAGE(G21:G31)))</f>
        <v>???</v>
      </c>
      <c r="H19" s="427"/>
    </row>
    <row r="20" spans="1:9">
      <c r="A20" s="10"/>
      <c r="B20" s="8" t="str">
        <f>Language!A1057</f>
        <v>Does the lab have the following reference strains in stock? (CIP equivalents are also shown)</v>
      </c>
    </row>
    <row r="21" spans="1:9">
      <c r="A21" s="10" t="s">
        <v>6012</v>
      </c>
      <c r="B21" s="37" t="str">
        <f>Language!A1058</f>
        <v>Staphylococcus aureus ATCC 43300 (mecA-positive, MRSA)</v>
      </c>
      <c r="C21" s="27"/>
      <c r="D21" s="501"/>
      <c r="E21" s="501"/>
      <c r="F21" s="40">
        <f t="shared" ref="F21:F29" si="2">C21</f>
        <v>0</v>
      </c>
      <c r="G21" s="18" t="str">
        <f t="shared" ref="G21:G31" si="3">IF(F21="Yes",1,IF(F21="No",0,"'"))</f>
        <v>'</v>
      </c>
      <c r="H21" s="416"/>
      <c r="I21" s="486"/>
    </row>
    <row r="22" spans="1:9">
      <c r="A22" s="10" t="s">
        <v>6013</v>
      </c>
      <c r="B22" s="37" t="str">
        <f>Language!A1059</f>
        <v>Staphylococcus aureus ATCC BAA-976 (msrA-positive, Dzone negative)</v>
      </c>
      <c r="C22" s="27"/>
      <c r="D22" s="501"/>
      <c r="E22" s="501"/>
      <c r="F22" s="40">
        <f t="shared" si="2"/>
        <v>0</v>
      </c>
      <c r="G22" s="18" t="str">
        <f t="shared" si="3"/>
        <v>'</v>
      </c>
      <c r="H22" s="416"/>
      <c r="I22" s="486"/>
    </row>
    <row r="23" spans="1:9">
      <c r="A23" s="10" t="s">
        <v>6014</v>
      </c>
      <c r="B23" s="37" t="str">
        <f>Language!A1060</f>
        <v>Staphylococcus aureus ATCC BAA-977 (ermA-positive, Dzone positive)</v>
      </c>
      <c r="C23" s="27"/>
      <c r="D23" s="501"/>
      <c r="E23" s="501"/>
      <c r="F23" s="40">
        <f t="shared" si="2"/>
        <v>0</v>
      </c>
      <c r="G23" s="18" t="str">
        <f t="shared" si="3"/>
        <v>'</v>
      </c>
      <c r="H23" s="416"/>
      <c r="I23" s="486"/>
    </row>
    <row r="24" spans="1:9">
      <c r="A24" s="10" t="s">
        <v>6015</v>
      </c>
      <c r="B24" s="37" t="str">
        <f>Language!A1061</f>
        <v>Enterococcus faecalis ATCC 51299/CIP 104676 (vanB-positive, VRE)</v>
      </c>
      <c r="C24" s="27"/>
      <c r="D24" s="501"/>
      <c r="E24" s="501"/>
      <c r="F24" s="40">
        <f t="shared" si="2"/>
        <v>0</v>
      </c>
      <c r="G24" s="18" t="str">
        <f t="shared" si="3"/>
        <v>'</v>
      </c>
      <c r="H24" s="416"/>
      <c r="I24" s="486"/>
    </row>
    <row r="25" spans="1:9">
      <c r="A25" s="10" t="s">
        <v>6016</v>
      </c>
      <c r="B25" s="37" t="str">
        <f>Language!A1062</f>
        <v>E.coli ATCC 13353 (CTX-M-15 ESBL-positive)</v>
      </c>
      <c r="C25" s="27"/>
      <c r="D25" s="501"/>
      <c r="E25" s="501"/>
      <c r="F25" s="40">
        <f t="shared" si="2"/>
        <v>0</v>
      </c>
      <c r="G25" s="18" t="str">
        <f t="shared" si="3"/>
        <v>'</v>
      </c>
      <c r="H25" s="416"/>
      <c r="I25" s="486"/>
    </row>
    <row r="26" spans="1:9">
      <c r="A26" s="10" t="s">
        <v>6017</v>
      </c>
      <c r="B26" s="37" t="str">
        <f>Language!A1063</f>
        <v>E.coli ATCC 35218 (TEM-1 positive)</v>
      </c>
      <c r="C26" s="27"/>
      <c r="D26" s="501"/>
      <c r="E26" s="501"/>
      <c r="F26" s="40">
        <f t="shared" si="2"/>
        <v>0</v>
      </c>
      <c r="G26" s="18" t="str">
        <f t="shared" si="3"/>
        <v>'</v>
      </c>
      <c r="H26" s="416"/>
      <c r="I26" s="486"/>
    </row>
    <row r="27" spans="1:9">
      <c r="A27" s="10" t="s">
        <v>6018</v>
      </c>
      <c r="B27" s="37" t="str">
        <f>Language!A1064</f>
        <v>Klebsiella pneumoniae ATCC 700603 (SHV-18, OXA-2) ESBL test QC</v>
      </c>
      <c r="C27" s="27"/>
      <c r="D27" s="501"/>
      <c r="E27" s="501"/>
      <c r="F27" s="40">
        <f t="shared" si="2"/>
        <v>0</v>
      </c>
      <c r="G27" s="18" t="str">
        <f t="shared" si="3"/>
        <v>'</v>
      </c>
      <c r="H27" s="416"/>
      <c r="I27" s="486"/>
    </row>
    <row r="28" spans="1:9">
      <c r="A28" s="10" t="s">
        <v>6019</v>
      </c>
      <c r="B28" s="37" t="str">
        <f>Language!A1065</f>
        <v>Klebsiella pneumoniae ATCC BAA-1705 (TEM, SHV, KPC-2) carbapenemase test QC</v>
      </c>
      <c r="C28" s="27"/>
      <c r="D28" s="501"/>
      <c r="E28" s="501"/>
      <c r="F28" s="40">
        <f t="shared" si="2"/>
        <v>0</v>
      </c>
      <c r="G28" s="18" t="str">
        <f t="shared" si="3"/>
        <v>'</v>
      </c>
      <c r="H28" s="416"/>
      <c r="I28" s="486"/>
    </row>
    <row r="29" spans="1:9">
      <c r="A29" s="10" t="s">
        <v>6020</v>
      </c>
      <c r="B29" s="37" t="str">
        <f>Language!A1066</f>
        <v>Klebsiella pneumoniae ATCC BAA-1706 (Resistant to carbapenems by non-carbapenemase method)</v>
      </c>
      <c r="C29" s="27"/>
      <c r="D29" s="501"/>
      <c r="E29" s="501"/>
      <c r="F29" s="40">
        <f t="shared" si="2"/>
        <v>0</v>
      </c>
      <c r="G29" s="18" t="str">
        <f t="shared" si="3"/>
        <v>'</v>
      </c>
      <c r="H29" s="416"/>
      <c r="I29" s="486"/>
    </row>
    <row r="30" spans="1:9" ht="27.6" customHeight="1">
      <c r="A30" s="10"/>
      <c r="B30" s="20" t="str">
        <f>Language!A1067</f>
        <v>Some QC strains with plasmid-mediated resistance have been shown to lose the plasmid when stored at temperatures above -60°C</v>
      </c>
      <c r="C30" s="22"/>
      <c r="F30" s="29"/>
      <c r="G30" s="18"/>
      <c r="H30" s="501"/>
    </row>
    <row r="31" spans="1:9">
      <c r="A31" s="10" t="s">
        <v>6021</v>
      </c>
      <c r="B31" s="37" t="str">
        <f>Language!A1068</f>
        <v>Are these special AST reference strains maintained at &lt;-60°C?</v>
      </c>
      <c r="C31" s="27"/>
      <c r="F31" s="29">
        <f>C31</f>
        <v>0</v>
      </c>
      <c r="G31" s="18" t="str">
        <f t="shared" si="3"/>
        <v>'</v>
      </c>
      <c r="H31" s="430"/>
    </row>
    <row r="32" spans="1:9" ht="16.2" thickBot="1">
      <c r="A32" s="10"/>
      <c r="B32" s="443"/>
    </row>
    <row r="33" spans="1:9" ht="16.2" thickBot="1">
      <c r="A33" s="160"/>
      <c r="B33" s="83" t="str">
        <f>Language!A1069</f>
        <v>QC OF DISC DIFFUSION AST METHODS</v>
      </c>
      <c r="C33" s="72" t="str">
        <f>IF(C34="No","NA",IF(COUNTBLANK(C36:C48)=13,"???",IF(COUNT(G36:G48)=0,"NA",AVERAGE(G36:G48))))</f>
        <v>???</v>
      </c>
      <c r="H33" s="427"/>
    </row>
    <row r="34" spans="1:9">
      <c r="A34" s="10" t="s">
        <v>6022</v>
      </c>
      <c r="B34" s="8" t="str">
        <f>Language!A1070</f>
        <v xml:space="preserve">Does the lab perform the disk diffusion method of AST? </v>
      </c>
      <c r="C34" s="27"/>
      <c r="F34" s="29">
        <f>C34</f>
        <v>0</v>
      </c>
      <c r="H34" s="430"/>
    </row>
    <row r="35" spans="1:9">
      <c r="A35" s="10"/>
      <c r="B35" s="439" t="str">
        <f>Language!A1071</f>
        <v>If no, answer NA until 7.31</v>
      </c>
      <c r="F35" s="22"/>
      <c r="H35" s="176"/>
    </row>
    <row r="36" spans="1:9" ht="27.6" customHeight="1">
      <c r="A36" s="10" t="s">
        <v>6023</v>
      </c>
      <c r="B36" s="20" t="str">
        <f>Language!A1072</f>
        <v>Is antibiotic disk QC performed before placing newly received lot numbers/shipments into use? (Review QC records to confirm)</v>
      </c>
      <c r="C36" s="27"/>
      <c r="F36" s="29">
        <f>C36</f>
        <v>0</v>
      </c>
      <c r="G36" s="18" t="str">
        <f t="shared" ref="G36" si="4">IF(F36="Yes",1,IF(F36="No",0,"'"))</f>
        <v>'</v>
      </c>
      <c r="H36" s="430"/>
      <c r="I36" s="18" t="str">
        <f>IF(C36="No","Red Flag","'")</f>
        <v>'</v>
      </c>
    </row>
    <row r="37" spans="1:9">
      <c r="A37" s="10"/>
      <c r="B37" s="45" t="str">
        <f>Language!A1444</f>
        <v>IMPORTANT! Please read the information below before proceeding:</v>
      </c>
      <c r="C37" s="27"/>
      <c r="F37" s="29"/>
      <c r="G37" s="18"/>
      <c r="H37" s="519"/>
      <c r="I37" s="18"/>
    </row>
    <row r="38" spans="1:9" ht="27.6" customHeight="1">
      <c r="A38" s="10"/>
      <c r="B38" s="396" t="str">
        <f>Language!A1073</f>
        <v xml:space="preserve">CLSI and EUCAST require that all antibiotic QC is performed each day of patient testing, not only when a new lot number is received. </v>
      </c>
      <c r="C38" s="22"/>
      <c r="F38" s="22"/>
    </row>
    <row r="39" spans="1:9" ht="55.2" customHeight="1">
      <c r="A39" s="10"/>
      <c r="B39" s="396" t="str">
        <f>Language!A1074</f>
        <v>Labs that wish to reduce the frequency of antibiotic QC from daily to weekly may do so after demonstrating satisfactory performance with daily QC using one of two plans described in CLSI M02, section 4.7. Either the 20-30 day plan, or the 15-replicate plan.</v>
      </c>
      <c r="C39" s="22"/>
      <c r="F39" s="22"/>
    </row>
    <row r="40" spans="1:9" ht="27.6" customHeight="1">
      <c r="A40" s="10" t="s">
        <v>6024</v>
      </c>
      <c r="B40" s="8" t="str">
        <f>Language!A1075</f>
        <v>Is there documentation showing that the lab has successfully completed either the 20-30 day plan or the 15-replicate (3- x 5-day) plan for all antibiotic disks in use? (Request to see)</v>
      </c>
      <c r="C40" s="27"/>
      <c r="F40" s="29">
        <f>C40</f>
        <v>0</v>
      </c>
      <c r="G40" s="18" t="str">
        <f t="shared" ref="G40" si="5">IF(F40="Yes",1,IF(F40="No",0,"'"))</f>
        <v>'</v>
      </c>
      <c r="H40" s="430"/>
    </row>
    <row r="41" spans="1:9" ht="27.6" customHeight="1">
      <c r="A41" s="10" t="s">
        <v>6025</v>
      </c>
      <c r="B41" s="8" t="str">
        <f>Language!A1076</f>
        <v>Not including new lot QC, how often is antibiotic disk QC performed? (Confirm by reviewing QC records; go back several months)</v>
      </c>
      <c r="C41" s="27"/>
      <c r="F41" s="29">
        <f>C41</f>
        <v>0</v>
      </c>
      <c r="G41" s="18" t="str">
        <f>IF(F41=1,1,IF(F41=2,1,IF(F41=3,0.75,IF(F41=4,0.5,IF(F41=5,0,"'")))))</f>
        <v>'</v>
      </c>
      <c r="H41" s="430"/>
      <c r="I41" s="187" t="str">
        <f>IF(C41=5,"Red Flag","'")</f>
        <v>'</v>
      </c>
    </row>
    <row r="42" spans="1:9" ht="41.55" customHeight="1">
      <c r="A42" s="10"/>
      <c r="B42" s="439" t="str">
        <f>Language!A1077</f>
        <v>1: Each day that disk AST is performed on patients – 2: Weekly – 3: Every other week – 4: Monthly - 5: Other (describe in comments) – NA: disk method not used</v>
      </c>
      <c r="G42" s="194"/>
    </row>
    <row r="43" spans="1:9" ht="27.6" customHeight="1">
      <c r="A43" s="10"/>
      <c r="B43" s="8" t="str">
        <f>Language!A1078</f>
        <v>Is antibiotic disk QC performed using the recommended ATCC reference strains below? (Review QC records to confirm)</v>
      </c>
      <c r="C43" s="22"/>
      <c r="F43" s="22"/>
      <c r="G43" s="194"/>
      <c r="I43" s="194"/>
    </row>
    <row r="44" spans="1:9">
      <c r="A44" s="10" t="s">
        <v>6026</v>
      </c>
      <c r="B44" s="37" t="str">
        <f>Language!A1079</f>
        <v>Staphylococcus aureus ATCC 25923/CIP 76.25 (If CLSI standard used)</v>
      </c>
      <c r="C44" s="27"/>
      <c r="F44" s="29">
        <f>C44</f>
        <v>0</v>
      </c>
      <c r="G44" s="18" t="str">
        <f t="shared" ref="G44:G48" si="6">IF(F44="Yes",1,IF(F44="No",0,"'"))</f>
        <v>'</v>
      </c>
      <c r="H44" s="430"/>
    </row>
    <row r="45" spans="1:9">
      <c r="A45" s="10" t="s">
        <v>6027</v>
      </c>
      <c r="B45" s="37" t="str">
        <f>Language!A1080</f>
        <v>Staphylococcus aureus ATCC 29213/CIP 103429 (If EUCAST standard used)</v>
      </c>
      <c r="C45" s="27"/>
      <c r="F45" s="29">
        <f>C45</f>
        <v>0</v>
      </c>
      <c r="G45" s="18" t="str">
        <f t="shared" si="6"/>
        <v>'</v>
      </c>
      <c r="H45" s="430"/>
    </row>
    <row r="46" spans="1:9">
      <c r="A46" s="10" t="s">
        <v>6028</v>
      </c>
      <c r="B46" s="17" t="str">
        <f>Language!A1081</f>
        <v>E. coli ATCC 25922/CIP 76.24</v>
      </c>
      <c r="C46" s="27"/>
      <c r="F46" s="29">
        <f>C46</f>
        <v>0</v>
      </c>
      <c r="G46" s="18" t="str">
        <f t="shared" si="6"/>
        <v>'</v>
      </c>
      <c r="H46" s="430"/>
    </row>
    <row r="47" spans="1:9">
      <c r="A47" s="10" t="s">
        <v>6029</v>
      </c>
      <c r="B47" s="17" t="str">
        <f>Language!A1082</f>
        <v>Pseudomonas aeruginosa ATCC 27853//CIP 76.110</v>
      </c>
      <c r="C47" s="27"/>
      <c r="F47" s="29">
        <f>C47</f>
        <v>0</v>
      </c>
      <c r="G47" s="18" t="str">
        <f t="shared" si="6"/>
        <v>'</v>
      </c>
      <c r="H47" s="430"/>
    </row>
    <row r="48" spans="1:9">
      <c r="A48" s="10" t="s">
        <v>6030</v>
      </c>
      <c r="B48" s="17" t="str">
        <f>Language!A1083</f>
        <v>Streptococcus pneumoniae ATCC 49619</v>
      </c>
      <c r="C48" s="27"/>
      <c r="F48" s="29">
        <f>C48</f>
        <v>0</v>
      </c>
      <c r="G48" s="18" t="str">
        <f t="shared" si="6"/>
        <v>'</v>
      </c>
      <c r="H48" s="430"/>
    </row>
    <row r="49" spans="1:9" ht="16.2" thickBot="1">
      <c r="A49" s="10"/>
      <c r="B49" s="48"/>
    </row>
    <row r="50" spans="1:9" ht="16.2" thickBot="1">
      <c r="A50" s="160"/>
      <c r="B50" s="83" t="str">
        <f>Language!A1084</f>
        <v>QC OF GRADIENT STRIP AST METHODS</v>
      </c>
      <c r="C50" s="72" t="str">
        <f>IF(C51="No","NA",IF(COUNTBLANK(C53:C62)=10,"???",IF(COUNT(G53:G62)=0,"NA",AVERAGE(G53:G62))))</f>
        <v>???</v>
      </c>
      <c r="H50" s="427"/>
    </row>
    <row r="51" spans="1:9">
      <c r="A51" s="10" t="s">
        <v>6031</v>
      </c>
      <c r="B51" s="8" t="str">
        <f>Language!A1085</f>
        <v>Does the lab use the gradient strip method of AST (Etest/Liofilechem)? (ungraded)</v>
      </c>
      <c r="C51" s="108"/>
      <c r="F51" s="29">
        <f>C51</f>
        <v>0</v>
      </c>
      <c r="H51" s="430"/>
    </row>
    <row r="52" spans="1:9">
      <c r="A52" s="10"/>
      <c r="B52" s="439" t="str">
        <f>Language!A1086</f>
        <v>If no, answer NA until 7.40</v>
      </c>
      <c r="H52" s="176"/>
    </row>
    <row r="53" spans="1:9" ht="27.6" customHeight="1">
      <c r="A53" s="10" t="s">
        <v>6032</v>
      </c>
      <c r="B53" s="8" t="str">
        <f>Language!A1087</f>
        <v>Is gradient strip QC performed before placing new lot numbers/shipments into use? (Review QC records to confirm)</v>
      </c>
      <c r="C53" s="27"/>
      <c r="F53" s="29">
        <f>C53</f>
        <v>0</v>
      </c>
      <c r="G53" s="18" t="str">
        <f t="shared" ref="G53:G54" si="7">IF(F53="Yes",1,IF(F53="No",0,"'"))</f>
        <v>'</v>
      </c>
      <c r="H53" s="131"/>
      <c r="I53" s="18" t="str">
        <f>IF(C53="No","Red Flag","'")</f>
        <v>'</v>
      </c>
    </row>
    <row r="54" spans="1:9" ht="27.6" customHeight="1">
      <c r="A54" s="10" t="s">
        <v>6033</v>
      </c>
      <c r="B54" s="8" t="str">
        <f>Language!A1088</f>
        <v>Is there documentation showing that the lab has successfully completed either the 20-30 day plan or the 15-replicate (3- x 5-day) plan for all antibiotic strips in use? (Request to see)</v>
      </c>
      <c r="C54" s="27"/>
      <c r="F54" s="29">
        <f>C54</f>
        <v>0</v>
      </c>
      <c r="G54" s="18" t="str">
        <f t="shared" si="7"/>
        <v>'</v>
      </c>
      <c r="H54" s="131"/>
    </row>
    <row r="55" spans="1:9" ht="27.6" customHeight="1">
      <c r="A55" s="10" t="s">
        <v>6034</v>
      </c>
      <c r="B55" s="8" t="str">
        <f>Language!A1089</f>
        <v>Not including new lot QC, how often is antibiotic strip QC performed? (Confirm by reviewing QC records; go back several months)</v>
      </c>
      <c r="C55" s="27"/>
      <c r="F55" s="29">
        <f>C55</f>
        <v>0</v>
      </c>
      <c r="G55" s="18" t="str">
        <f>IF(F55=1,1,IF(F55=2,1,IF(F55=3,0.75,IF(F55=4,0.5,IF(F55=5,0,"'")))))</f>
        <v>'</v>
      </c>
      <c r="H55" s="131"/>
      <c r="I55" s="187" t="str">
        <f>IF(C55=5,"Red Flag","'")</f>
        <v>'</v>
      </c>
    </row>
    <row r="56" spans="1:9" ht="41.55" customHeight="1">
      <c r="A56" s="10"/>
      <c r="B56" s="439" t="str">
        <f>Language!A1090</f>
        <v>1: Each day that strip AST is performed on patients – 2: Weekly – 3: Every other week – 4: Monthly - 5: Other (describe in comments) – NA: strip method not used</v>
      </c>
      <c r="I56" s="504"/>
    </row>
    <row r="57" spans="1:9" ht="27.6" customHeight="1">
      <c r="A57" s="10"/>
      <c r="B57" s="8" t="str">
        <f>Language!A1091</f>
        <v>Is antibiotic strip QC performed using the recommended ATCC reference strains below? (Review QC records to confirm)</v>
      </c>
      <c r="C57" s="505"/>
      <c r="D57" s="505"/>
      <c r="E57" s="505"/>
      <c r="F57" s="505"/>
      <c r="G57" s="505"/>
    </row>
    <row r="58" spans="1:9">
      <c r="A58" s="10" t="s">
        <v>6035</v>
      </c>
      <c r="B58" s="37" t="str">
        <f>Language!A1092</f>
        <v>Staphylococcus aureus ATCC 25923/CIP 76.25 (If CLSI standard used)</v>
      </c>
      <c r="C58" s="27"/>
      <c r="F58" s="29">
        <f>C58</f>
        <v>0</v>
      </c>
      <c r="G58" s="18" t="str">
        <f t="shared" ref="G58:G62" si="8">IF(F58="Yes",1,IF(F58="No",0,"'"))</f>
        <v>'</v>
      </c>
      <c r="H58" s="430"/>
    </row>
    <row r="59" spans="1:9">
      <c r="A59" s="10" t="s">
        <v>6036</v>
      </c>
      <c r="B59" s="37" t="str">
        <f>Language!A1093</f>
        <v>Staphylococcus aureus ATCC 29213/CIP 103429 (If EUCAST standard used)</v>
      </c>
      <c r="C59" s="27"/>
      <c r="F59" s="29">
        <f>C59</f>
        <v>0</v>
      </c>
      <c r="G59" s="18" t="str">
        <f t="shared" si="8"/>
        <v>'</v>
      </c>
      <c r="H59" s="430"/>
    </row>
    <row r="60" spans="1:9">
      <c r="A60" s="10" t="s">
        <v>6037</v>
      </c>
      <c r="B60" s="17" t="str">
        <f>Language!A1094</f>
        <v>E. coli ATCC 25922/CIP 76.24</v>
      </c>
      <c r="C60" s="27"/>
      <c r="F60" s="29">
        <f>C60</f>
        <v>0</v>
      </c>
      <c r="G60" s="18" t="str">
        <f t="shared" si="8"/>
        <v>'</v>
      </c>
      <c r="H60" s="430"/>
    </row>
    <row r="61" spans="1:9">
      <c r="A61" s="10" t="s">
        <v>6038</v>
      </c>
      <c r="B61" s="17" t="str">
        <f>Language!A1095</f>
        <v>Pseudomonas aeruginosa ATCC 27853//CIP 76.110</v>
      </c>
      <c r="C61" s="27"/>
      <c r="F61" s="29">
        <f>C61</f>
        <v>0</v>
      </c>
      <c r="G61" s="18" t="str">
        <f t="shared" si="8"/>
        <v>'</v>
      </c>
      <c r="H61" s="430"/>
    </row>
    <row r="62" spans="1:9">
      <c r="A62" s="10" t="s">
        <v>6039</v>
      </c>
      <c r="B62" s="17" t="str">
        <f>Language!A1096</f>
        <v>Streptococcus pneumoniae ATCC 49619</v>
      </c>
      <c r="C62" s="27"/>
      <c r="F62" s="29">
        <f>C62</f>
        <v>0</v>
      </c>
      <c r="G62" s="18" t="str">
        <f t="shared" si="8"/>
        <v>'</v>
      </c>
      <c r="H62" s="430"/>
    </row>
    <row r="63" spans="1:9" ht="16.2" thickBot="1">
      <c r="A63" s="10"/>
      <c r="B63" s="48"/>
    </row>
    <row r="64" spans="1:9" ht="16.2" thickBot="1">
      <c r="A64" s="160"/>
      <c r="B64" s="83" t="str">
        <f>Language!A1097</f>
        <v>QC OF AUTOMATED AST SYSTEMS</v>
      </c>
      <c r="C64" s="72" t="str">
        <f>IF(C65="No","NA",IF(COUNTBLANK(C67:C77)=11,"???",IF(COUNT(G67:G77)=0,"NA",AVERAGE(G67:G77))))</f>
        <v>???</v>
      </c>
      <c r="H64" s="427"/>
    </row>
    <row r="65" spans="1:9">
      <c r="A65" s="10" t="s">
        <v>6040</v>
      </c>
      <c r="B65" s="8" t="str">
        <f>Language!A1098</f>
        <v>Does the lab use an automated instrument for AST? (e.g., Vitek, Phoenix, Microscan, etc)</v>
      </c>
      <c r="C65" s="46"/>
      <c r="F65" s="29">
        <f>C65</f>
        <v>0</v>
      </c>
      <c r="H65" s="430"/>
    </row>
    <row r="66" spans="1:9">
      <c r="A66" s="10"/>
      <c r="B66" s="439" t="str">
        <f>Language!A1099</f>
        <v>if No, answer NA until the end</v>
      </c>
      <c r="H66" s="176"/>
    </row>
    <row r="67" spans="1:9">
      <c r="A67" s="10" t="s">
        <v>6041</v>
      </c>
      <c r="B67" s="8" t="str">
        <f>Language!A1100</f>
        <v>Are the antibiotic cards/trays stored at the manufacturer-recommended temperatures?</v>
      </c>
      <c r="C67" s="27"/>
      <c r="F67" s="29">
        <f>C67</f>
        <v>0</v>
      </c>
      <c r="G67" s="18" t="str">
        <f t="shared" ref="G67:G69" si="9">IF(F67="Yes",1,IF(F67="No",0,"'"))</f>
        <v>'</v>
      </c>
      <c r="H67" s="430"/>
    </row>
    <row r="68" spans="1:9" ht="27.6" customHeight="1">
      <c r="A68" s="10" t="s">
        <v>6042</v>
      </c>
      <c r="B68" s="8" t="str">
        <f>Language!A1101</f>
        <v>Is QC of the antibiotic cards/trays performed before placing new lot numbers/shipments into use? (Review QC records to confirm)</v>
      </c>
      <c r="C68" s="27"/>
      <c r="F68" s="29">
        <f>C68</f>
        <v>0</v>
      </c>
      <c r="G68" s="18" t="str">
        <f t="shared" si="9"/>
        <v>'</v>
      </c>
      <c r="H68" s="430"/>
      <c r="I68" s="18" t="str">
        <f>IF(C68="No","Red Flag","'")</f>
        <v>'</v>
      </c>
    </row>
    <row r="69" spans="1:9" ht="27.6" customHeight="1">
      <c r="A69" s="10" t="s">
        <v>6043</v>
      </c>
      <c r="B69" s="8" t="str">
        <f>Language!A1102</f>
        <v>Is there documentation showing that the lab has successfully completed either the 20-30 day plan or the 15-replicate (3- x 5-day) plan for all antibiotic cards/trays in use? (Request to see)</v>
      </c>
      <c r="C69" s="27"/>
      <c r="F69" s="29">
        <f>C69</f>
        <v>0</v>
      </c>
      <c r="G69" s="18" t="str">
        <f t="shared" si="9"/>
        <v>'</v>
      </c>
      <c r="H69" s="430"/>
    </row>
    <row r="70" spans="1:9" ht="27.6" customHeight="1">
      <c r="A70" s="10" t="s">
        <v>6044</v>
      </c>
      <c r="B70" s="8" t="str">
        <f>Language!A1103</f>
        <v>Not including new lot QC, how often is antibiotic card/tray QC performed? (Confirm by reviewing QC records; go back several months)</v>
      </c>
      <c r="C70" s="27"/>
      <c r="F70" s="29">
        <f>C70</f>
        <v>0</v>
      </c>
      <c r="G70" s="18" t="str">
        <f>IF(F70=1,1,IF(F70=2,1,IF(F70=3,0.75,IF(F70=4,0.5,IF(F70=5,0,"'")))))</f>
        <v>'</v>
      </c>
      <c r="H70" s="430"/>
      <c r="I70" s="187" t="str">
        <f>IF(C70=5,"Red Flag","'")</f>
        <v>'</v>
      </c>
    </row>
    <row r="71" spans="1:9" ht="41.55" customHeight="1">
      <c r="A71" s="10"/>
      <c r="B71" s="439" t="str">
        <f>Language!A1104</f>
        <v>1: Each day that automated AST is performed on patients – 2: Weekly – 3: Every other week – 4: Monthly - 5: Other (describe in comments) – NA: automated method not used</v>
      </c>
      <c r="I71" s="504"/>
    </row>
    <row r="72" spans="1:9" ht="27.6" customHeight="1">
      <c r="A72" s="10"/>
      <c r="B72" s="8" t="str">
        <f>Language!A1105</f>
        <v>Is QC of automated AST systems performed using the recommended ATCC reference strains below? (Review QC records to confirm)</v>
      </c>
      <c r="C72" s="505"/>
      <c r="D72" s="505"/>
      <c r="E72" s="505"/>
      <c r="F72" s="505"/>
      <c r="G72" s="505"/>
    </row>
    <row r="73" spans="1:9">
      <c r="A73" s="10" t="s">
        <v>6045</v>
      </c>
      <c r="B73" s="37" t="str">
        <f>Language!A1106</f>
        <v>Staphylococcus aureus ATCC 25923/CIP 76.25 (If CLSI standard used)</v>
      </c>
      <c r="C73" s="27"/>
      <c r="F73" s="29">
        <f>C73</f>
        <v>0</v>
      </c>
      <c r="G73" s="18" t="str">
        <f t="shared" ref="G73:G77" si="10">IF(F73="Yes",1,IF(F73="No",0,"'"))</f>
        <v>'</v>
      </c>
      <c r="H73" s="430"/>
    </row>
    <row r="74" spans="1:9">
      <c r="A74" s="10" t="s">
        <v>6046</v>
      </c>
      <c r="B74" s="37" t="str">
        <f>Language!A1107</f>
        <v>Staphylococcus aureus ATCC 29213/CIP 103429 (If EUCAST standard used)</v>
      </c>
      <c r="C74" s="27"/>
      <c r="F74" s="29">
        <f>C74</f>
        <v>0</v>
      </c>
      <c r="G74" s="18" t="str">
        <f t="shared" si="10"/>
        <v>'</v>
      </c>
      <c r="H74" s="430"/>
    </row>
    <row r="75" spans="1:9">
      <c r="A75" s="10" t="s">
        <v>6047</v>
      </c>
      <c r="B75" s="17" t="str">
        <f>Language!A1108</f>
        <v>E. coli ATCC 25922/CIP 76.24</v>
      </c>
      <c r="C75" s="27"/>
      <c r="F75" s="29">
        <f>C75</f>
        <v>0</v>
      </c>
      <c r="G75" s="18" t="str">
        <f t="shared" si="10"/>
        <v>'</v>
      </c>
      <c r="H75" s="430"/>
    </row>
    <row r="76" spans="1:9">
      <c r="A76" s="10" t="s">
        <v>6048</v>
      </c>
      <c r="B76" s="17" t="str">
        <f>Language!A1109</f>
        <v>Pseudomonas aeruginosa ATCC 27853//CIP 76.110</v>
      </c>
      <c r="C76" s="27"/>
      <c r="F76" s="29">
        <f>C76</f>
        <v>0</v>
      </c>
      <c r="G76" s="18" t="str">
        <f t="shared" si="10"/>
        <v>'</v>
      </c>
      <c r="H76" s="430"/>
    </row>
    <row r="77" spans="1:9">
      <c r="A77" s="10" t="s">
        <v>6049</v>
      </c>
      <c r="B77" s="17" t="str">
        <f>Language!A1110</f>
        <v>Streptococcus pneumoniae ATCC 49619</v>
      </c>
      <c r="C77" s="27"/>
      <c r="F77" s="29">
        <f>C77</f>
        <v>0</v>
      </c>
      <c r="G77" s="18" t="str">
        <f t="shared" si="10"/>
        <v>'</v>
      </c>
      <c r="H77" s="430"/>
    </row>
    <row r="81" spans="2:2">
      <c r="B81" s="506"/>
    </row>
  </sheetData>
  <sheetProtection algorithmName="SHA-256" hashValue="O7PrbsEdlWmKn+zZk2xVD27I7GA5EGICaReo8cxv9VQ=" saltValue="LE/Tc4qL4n+3yyJc3Wg8yw==" spinCount="100000" sheet="1" selectLockedCells="1"/>
  <mergeCells count="1">
    <mergeCell ref="B17:H17"/>
  </mergeCells>
  <phoneticPr fontId="45" type="noConversion"/>
  <conditionalFormatting sqref="C3">
    <cfRule type="cellIs" dxfId="978" priority="609" stopIfTrue="1" operator="lessThan">
      <formula>0.5</formula>
    </cfRule>
    <cfRule type="cellIs" dxfId="977" priority="607" stopIfTrue="1" operator="greaterThanOrEqual">
      <formula>0.8</formula>
    </cfRule>
    <cfRule type="cellIs" dxfId="976" priority="608" stopIfTrue="1" operator="between">
      <formula>0.5</formula>
      <formula>0.799</formula>
    </cfRule>
  </conditionalFormatting>
  <conditionalFormatting sqref="C19">
    <cfRule type="cellIs" dxfId="975" priority="145" stopIfTrue="1" operator="lessThan">
      <formula>0.5</formula>
    </cfRule>
    <cfRule type="cellIs" dxfId="974" priority="144" stopIfTrue="1" operator="between">
      <formula>0.5</formula>
      <formula>0.799</formula>
    </cfRule>
    <cfRule type="cellIs" dxfId="973" priority="143" stopIfTrue="1" operator="greaterThanOrEqual">
      <formula>0.8</formula>
    </cfRule>
  </conditionalFormatting>
  <conditionalFormatting sqref="C33">
    <cfRule type="cellIs" dxfId="972" priority="183" stopIfTrue="1" operator="between">
      <formula>0.5</formula>
      <formula>0.799</formula>
    </cfRule>
    <cfRule type="cellIs" dxfId="971" priority="184" stopIfTrue="1" operator="lessThan">
      <formula>0.5</formula>
    </cfRule>
    <cfRule type="cellIs" dxfId="970" priority="182" stopIfTrue="1" operator="greaterThanOrEqual">
      <formula>0.8</formula>
    </cfRule>
  </conditionalFormatting>
  <conditionalFormatting sqref="C50">
    <cfRule type="cellIs" dxfId="969" priority="181" stopIfTrue="1" operator="lessThan">
      <formula>0.5</formula>
    </cfRule>
    <cfRule type="cellIs" dxfId="968" priority="180" stopIfTrue="1" operator="between">
      <formula>0.5</formula>
      <formula>0.799</formula>
    </cfRule>
    <cfRule type="cellIs" dxfId="967" priority="179" stopIfTrue="1" operator="greaterThanOrEqual">
      <formula>0.8</formula>
    </cfRule>
  </conditionalFormatting>
  <conditionalFormatting sqref="C64">
    <cfRule type="cellIs" dxfId="966" priority="178" stopIfTrue="1" operator="lessThan">
      <formula>0.5</formula>
    </cfRule>
    <cfRule type="cellIs" dxfId="965" priority="177" stopIfTrue="1" operator="between">
      <formula>0.5</formula>
      <formula>0.799</formula>
    </cfRule>
    <cfRule type="cellIs" dxfId="964" priority="176" stopIfTrue="1" operator="greaterThanOrEqual">
      <formula>0.8</formula>
    </cfRule>
  </conditionalFormatting>
  <conditionalFormatting sqref="G1 G3">
    <cfRule type="containsText" dxfId="963" priority="345" stopIfTrue="1" operator="containsText" text="RED FLAG">
      <formula>NOT(ISERROR(SEARCH("RED FLAG",G1)))</formula>
    </cfRule>
  </conditionalFormatting>
  <conditionalFormatting sqref="G5:G16">
    <cfRule type="containsText" dxfId="962" priority="37" stopIfTrue="1" operator="containsText" text="RED FLAG">
      <formula>NOT(ISERROR(SEARCH("RED FLAG",G5)))</formula>
    </cfRule>
    <cfRule type="cellIs" dxfId="961" priority="38" stopIfTrue="1" operator="lessThan">
      <formula>0.5</formula>
    </cfRule>
    <cfRule type="cellIs" dxfId="960" priority="39" stopIfTrue="1" operator="between">
      <formula>0.5</formula>
      <formula>0.75</formula>
    </cfRule>
    <cfRule type="cellIs" dxfId="959" priority="40" stopIfTrue="1" operator="greaterThan">
      <formula>0.75</formula>
    </cfRule>
  </conditionalFormatting>
  <conditionalFormatting sqref="G18:G34">
    <cfRule type="containsText" dxfId="958" priority="29" stopIfTrue="1" operator="containsText" text="RED FLAG">
      <formula>NOT(ISERROR(SEARCH("RED FLAG",G18)))</formula>
    </cfRule>
  </conditionalFormatting>
  <conditionalFormatting sqref="G21:G31">
    <cfRule type="cellIs" dxfId="957" priority="30" stopIfTrue="1" operator="lessThan">
      <formula>0.5</formula>
    </cfRule>
    <cfRule type="cellIs" dxfId="956" priority="31" stopIfTrue="1" operator="between">
      <formula>0.5</formula>
      <formula>0.75</formula>
    </cfRule>
    <cfRule type="cellIs" dxfId="955" priority="32" stopIfTrue="1" operator="greaterThan">
      <formula>0.75</formula>
    </cfRule>
  </conditionalFormatting>
  <conditionalFormatting sqref="G34">
    <cfRule type="cellIs" dxfId="954" priority="406" stopIfTrue="1" operator="lessThan">
      <formula>0.5</formula>
    </cfRule>
    <cfRule type="cellIs" dxfId="953" priority="407" stopIfTrue="1" operator="between">
      <formula>0.5</formula>
      <formula>0.75</formula>
    </cfRule>
    <cfRule type="cellIs" dxfId="952" priority="408" stopIfTrue="1" operator="greaterThan">
      <formula>0.75</formula>
    </cfRule>
  </conditionalFormatting>
  <conditionalFormatting sqref="G36:G37 G40:G41">
    <cfRule type="cellIs" dxfId="951" priority="28" stopIfTrue="1" operator="greaterThan">
      <formula>0.75</formula>
    </cfRule>
    <cfRule type="cellIs" dxfId="950" priority="27" stopIfTrue="1" operator="between">
      <formula>0.5</formula>
      <formula>0.75</formula>
    </cfRule>
    <cfRule type="cellIs" dxfId="949" priority="26" stopIfTrue="1" operator="lessThan">
      <formula>0.5</formula>
    </cfRule>
  </conditionalFormatting>
  <conditionalFormatting sqref="G36:G37">
    <cfRule type="containsText" dxfId="948" priority="25" stopIfTrue="1" operator="containsText" text="RED FLAG">
      <formula>NOT(ISERROR(SEARCH("RED FLAG",G36)))</formula>
    </cfRule>
  </conditionalFormatting>
  <conditionalFormatting sqref="G40:G50">
    <cfRule type="containsText" dxfId="947" priority="21" stopIfTrue="1" operator="containsText" text="RED FLAG">
      <formula>NOT(ISERROR(SEARCH("RED FLAG",G40)))</formula>
    </cfRule>
  </conditionalFormatting>
  <conditionalFormatting sqref="G43:G48">
    <cfRule type="cellIs" dxfId="946" priority="24" stopIfTrue="1" operator="greaterThan">
      <formula>0.75</formula>
    </cfRule>
    <cfRule type="cellIs" dxfId="945" priority="22" stopIfTrue="1" operator="lessThan">
      <formula>0.5</formula>
    </cfRule>
    <cfRule type="cellIs" dxfId="944" priority="23" stopIfTrue="1" operator="between">
      <formula>0.5</formula>
      <formula>0.75</formula>
    </cfRule>
  </conditionalFormatting>
  <conditionalFormatting sqref="G52:G64">
    <cfRule type="containsText" dxfId="943" priority="13" stopIfTrue="1" operator="containsText" text="RED FLAG">
      <formula>NOT(ISERROR(SEARCH("RED FLAG",G52)))</formula>
    </cfRule>
  </conditionalFormatting>
  <conditionalFormatting sqref="G53:G55">
    <cfRule type="cellIs" dxfId="942" priority="15" stopIfTrue="1" operator="between">
      <formula>0.5</formula>
      <formula>0.75</formula>
    </cfRule>
    <cfRule type="cellIs" dxfId="941" priority="16" stopIfTrue="1" operator="greaterThan">
      <formula>0.75</formula>
    </cfRule>
    <cfRule type="cellIs" dxfId="940" priority="14" stopIfTrue="1" operator="lessThan">
      <formula>0.5</formula>
    </cfRule>
  </conditionalFormatting>
  <conditionalFormatting sqref="G58:G62">
    <cfRule type="cellIs" dxfId="939" priority="20" stopIfTrue="1" operator="greaterThan">
      <formula>0.75</formula>
    </cfRule>
    <cfRule type="cellIs" dxfId="938" priority="19" stopIfTrue="1" operator="between">
      <formula>0.5</formula>
      <formula>0.75</formula>
    </cfRule>
    <cfRule type="cellIs" dxfId="937" priority="18" stopIfTrue="1" operator="lessThan">
      <formula>0.5</formula>
    </cfRule>
  </conditionalFormatting>
  <conditionalFormatting sqref="G66:G1048576">
    <cfRule type="containsText" dxfId="936" priority="1" stopIfTrue="1" operator="containsText" text="RED FLAG">
      <formula>NOT(ISERROR(SEARCH("RED FLAG",G66)))</formula>
    </cfRule>
  </conditionalFormatting>
  <conditionalFormatting sqref="G67:G70">
    <cfRule type="cellIs" dxfId="935" priority="8" stopIfTrue="1" operator="greaterThan">
      <formula>0.75</formula>
    </cfRule>
    <cfRule type="cellIs" dxfId="934" priority="7" stopIfTrue="1" operator="between">
      <formula>0.5</formula>
      <formula>0.75</formula>
    </cfRule>
    <cfRule type="cellIs" dxfId="933" priority="6" stopIfTrue="1" operator="lessThan">
      <formula>0.5</formula>
    </cfRule>
  </conditionalFormatting>
  <conditionalFormatting sqref="G73:G77">
    <cfRule type="cellIs" dxfId="932" priority="4" stopIfTrue="1" operator="greaterThan">
      <formula>0.75</formula>
    </cfRule>
    <cfRule type="cellIs" dxfId="931" priority="3" stopIfTrue="1" operator="between">
      <formula>0.5</formula>
      <formula>0.75</formula>
    </cfRule>
    <cfRule type="cellIs" dxfId="930" priority="2" stopIfTrue="1" operator="lessThan">
      <formula>0.5</formula>
    </cfRule>
  </conditionalFormatting>
  <conditionalFormatting sqref="I36:I37">
    <cfRule type="containsText" dxfId="929" priority="53" stopIfTrue="1" operator="containsText" text="RED FLAG">
      <formula>NOT(ISERROR(SEARCH("RED FLAG",I36)))</formula>
    </cfRule>
    <cfRule type="cellIs" dxfId="928" priority="54" stopIfTrue="1" operator="lessThan">
      <formula>0.5</formula>
    </cfRule>
    <cfRule type="cellIs" dxfId="927" priority="55" stopIfTrue="1" operator="between">
      <formula>0.5</formula>
      <formula>0.75</formula>
    </cfRule>
    <cfRule type="cellIs" dxfId="926" priority="56" stopIfTrue="1" operator="greaterThan">
      <formula>0.75</formula>
    </cfRule>
  </conditionalFormatting>
  <conditionalFormatting sqref="I41">
    <cfRule type="containsText" dxfId="925" priority="43" operator="containsText" text="Red Flag">
      <formula>NOT(ISERROR(SEARCH("Red Flag",I41)))</formula>
    </cfRule>
  </conditionalFormatting>
  <conditionalFormatting sqref="I53">
    <cfRule type="cellIs" dxfId="924" priority="51" stopIfTrue="1" operator="between">
      <formula>0.5</formula>
      <formula>0.75</formula>
    </cfRule>
    <cfRule type="cellIs" dxfId="923" priority="52" stopIfTrue="1" operator="greaterThan">
      <formula>0.75</formula>
    </cfRule>
    <cfRule type="containsText" dxfId="922" priority="49" stopIfTrue="1" operator="containsText" text="RED FLAG">
      <formula>NOT(ISERROR(SEARCH("RED FLAG",I53)))</formula>
    </cfRule>
    <cfRule type="cellIs" dxfId="921" priority="50" stopIfTrue="1" operator="lessThan">
      <formula>0.5</formula>
    </cfRule>
  </conditionalFormatting>
  <conditionalFormatting sqref="I55">
    <cfRule type="containsText" dxfId="920" priority="42" operator="containsText" text="Red Flag">
      <formula>NOT(ISERROR(SEARCH("Red Flag",I55)))</formula>
    </cfRule>
  </conditionalFormatting>
  <conditionalFormatting sqref="I68">
    <cfRule type="containsText" dxfId="919" priority="45" stopIfTrue="1" operator="containsText" text="RED FLAG">
      <formula>NOT(ISERROR(SEARCH("RED FLAG",I68)))</formula>
    </cfRule>
    <cfRule type="cellIs" dxfId="918" priority="46" stopIfTrue="1" operator="lessThan">
      <formula>0.5</formula>
    </cfRule>
    <cfRule type="cellIs" dxfId="917" priority="47" stopIfTrue="1" operator="between">
      <formula>0.5</formula>
      <formula>0.75</formula>
    </cfRule>
    <cfRule type="cellIs" dxfId="916" priority="48" stopIfTrue="1" operator="greaterThan">
      <formula>0.75</formula>
    </cfRule>
  </conditionalFormatting>
  <conditionalFormatting sqref="I70">
    <cfRule type="containsText" dxfId="915" priority="41" operator="containsText" text="Red Flag">
      <formula>NOT(ISERROR(SEARCH("Red Flag",I70)))</formula>
    </cfRule>
  </conditionalFormatting>
  <dataValidations count="3">
    <dataValidation type="list" allowBlank="1" showInputMessage="1" showErrorMessage="1" sqref="C53:C54 C58:C62 C21:C23 C12:C16 C5:C7 C31 C44:C48 C67:C69 C73:C77 C36:C37" xr:uid="{00000000-0002-0000-0B00-000000000000}">
      <formula1>"Yes,No,NA"</formula1>
    </dataValidation>
    <dataValidation type="list" allowBlank="1" showInputMessage="1" showErrorMessage="1" sqref="C40 C51 C65 C24:C29 C8:C10 C34" xr:uid="{00000000-0002-0000-0B00-000001000000}">
      <formula1>"Yes,No"</formula1>
    </dataValidation>
    <dataValidation type="list" allowBlank="1" showInputMessage="1" showErrorMessage="1" sqref="C41 C55 C70" xr:uid="{00000000-0002-0000-0B00-000002000000}">
      <formula1>"1,2,3,4,5,NA"</formula1>
    </dataValidation>
  </dataValidations>
  <pageMargins left="0.25" right="0.25" top="0.75000000000000011" bottom="0.75000000000000011" header="0.30000000000000004" footer="0.30000000000000004"/>
  <pageSetup paperSize="9" scale="92" fitToHeight="3" orientation="landscape" r:id="rId1"/>
  <headerFooter>
    <oddFooter>&amp;C&amp;A -&amp;P</oddFooter>
  </headerFooter>
  <rowBreaks count="2" manualBreakCount="2">
    <brk id="31" max="4" man="1"/>
    <brk id="5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0070C0"/>
    <pageSetUpPr fitToPage="1"/>
  </sheetPr>
  <dimension ref="A1:L196"/>
  <sheetViews>
    <sheetView zoomScaleNormal="100" zoomScaleSheetLayoutView="90" zoomScalePageLayoutView="80" workbookViewId="0">
      <selection activeCell="C4" sqref="C4"/>
    </sheetView>
  </sheetViews>
  <sheetFormatPr defaultColWidth="11" defaultRowHeight="15.6"/>
  <cols>
    <col min="1" max="1" width="4.69921875" style="6" customWidth="1"/>
    <col min="2" max="2" width="82.19921875" style="28" customWidth="1"/>
    <col min="3" max="3" width="5.19921875" style="22" customWidth="1"/>
    <col min="4" max="4" width="3.69921875" style="22" customWidth="1"/>
    <col min="5" max="5" width="3.69921875" style="22" hidden="1" customWidth="1"/>
    <col min="6" max="6" width="5.19921875" style="22" hidden="1" customWidth="1"/>
    <col min="7" max="7" width="5.19921875" style="22" customWidth="1"/>
    <col min="8" max="8" width="37.69921875" style="197" customWidth="1"/>
    <col min="9" max="9" width="9.69921875" style="22" customWidth="1"/>
    <col min="10" max="12" width="11" style="194"/>
    <col min="13" max="16384" width="11" style="22"/>
  </cols>
  <sheetData>
    <row r="1" spans="1:12">
      <c r="A1" s="10"/>
      <c r="B1" s="57" t="str">
        <f>Language!A1111</f>
        <v>8- SPECIMEN COLLECTION, TRANSPORT &amp; MANAGEMENT</v>
      </c>
      <c r="C1" s="51" t="str">
        <f>IF(COUNT(G4:G331)=0,"???",AVERAGE(G4:G331))</f>
        <v>???</v>
      </c>
      <c r="F1" s="28"/>
      <c r="H1" s="192" t="str">
        <f>'Facility 1'!H1</f>
        <v>Comments</v>
      </c>
    </row>
    <row r="2" spans="1:12" ht="16.2" thickBot="1">
      <c r="A2" s="10"/>
      <c r="B2" s="202" t="str">
        <f>Language!A1112</f>
        <v>Please note: all questions refer only to clinical patient specimens, NOT to research  or environmental specimens</v>
      </c>
      <c r="C2" s="19"/>
      <c r="E2" s="28"/>
      <c r="F2" s="28"/>
    </row>
    <row r="3" spans="1:12" ht="16.2" thickBot="1">
      <c r="A3" s="160"/>
      <c r="B3" s="75" t="str">
        <f>Language!A1113</f>
        <v>SPECIMEN MANAGEMENT</v>
      </c>
      <c r="C3" s="72" t="str">
        <f>IF(COUNTBLANK(C4:C16)=13,"???",IF(COUNT(G4:G16)=0,"NA",AVERAGE(G4:G16)))</f>
        <v>???</v>
      </c>
      <c r="F3" s="29"/>
      <c r="G3" s="18"/>
      <c r="H3" s="427"/>
    </row>
    <row r="4" spans="1:12" ht="27.6" customHeight="1">
      <c r="A4" s="76" t="s">
        <v>6050</v>
      </c>
      <c r="B4" s="20" t="str">
        <f>Language!A1114</f>
        <v>Does lab policy require that all specimens are accompanied by a laboratory-approved test requisition form?</v>
      </c>
      <c r="C4" s="27"/>
      <c r="D4" s="102"/>
      <c r="E4" s="102"/>
      <c r="F4" s="29">
        <f>C4</f>
        <v>0</v>
      </c>
      <c r="G4" s="18" t="str">
        <f>IF(F4="Yes",1,IF(F4="No",0,"'"))</f>
        <v>'</v>
      </c>
      <c r="H4" s="431"/>
    </row>
    <row r="5" spans="1:12" ht="27.6" customHeight="1">
      <c r="A5" s="76" t="s">
        <v>6051</v>
      </c>
      <c r="B5" s="20" t="str">
        <f>Language!A1115</f>
        <v>Does the lab enforce a two-identifier system? (e.g., both patient name and a numeric identifier must be present on the requisition and on the specimen).</v>
      </c>
      <c r="C5" s="27"/>
      <c r="D5" s="102"/>
      <c r="E5" s="102"/>
      <c r="F5" s="29">
        <f>C5</f>
        <v>0</v>
      </c>
      <c r="G5" s="18" t="str">
        <f>IF(F5="Yes",1,IF(F5="No",0,"'"))</f>
        <v>'</v>
      </c>
      <c r="H5" s="431"/>
      <c r="I5" s="18" t="str">
        <f>IF(C5="No","Red Flag","'")</f>
        <v>'</v>
      </c>
    </row>
    <row r="6" spans="1:12">
      <c r="A6" s="76" t="s">
        <v>6052</v>
      </c>
      <c r="B6" s="127" t="str">
        <f>Language!A1116</f>
        <v>Are sensitive specimens processed within one hour of reaching the laboratory?</v>
      </c>
      <c r="C6" s="27"/>
      <c r="D6" s="102"/>
      <c r="E6" s="102"/>
      <c r="F6" s="29">
        <f>C6</f>
        <v>0</v>
      </c>
      <c r="G6" s="18" t="str">
        <f>IF(F6="Yes",1,IF(F6="No",0,"'"))</f>
        <v>'</v>
      </c>
      <c r="H6" s="431"/>
    </row>
    <row r="7" spans="1:12" ht="41.55" customHeight="1">
      <c r="A7" s="76" t="s">
        <v>6053</v>
      </c>
      <c r="B7" s="20" t="str">
        <f>Language!A1117</f>
        <v>When the bacteriology lab is closed, does another laboratory department process (culture) the specimens or ensure that they are stored at the proper temperatures? (Select NA if bacteriology lab does not close)</v>
      </c>
      <c r="C7" s="27"/>
      <c r="F7" s="29">
        <f>C7</f>
        <v>0</v>
      </c>
      <c r="G7" s="18" t="str">
        <f>IF(F7="Yes",1,IF(F7="No",0,"'"))</f>
        <v>'</v>
      </c>
      <c r="H7" s="430"/>
    </row>
    <row r="8" spans="1:12" s="492" customFormat="1">
      <c r="A8" s="507"/>
      <c r="B8" s="20" t="str">
        <f>Language!A1118</f>
        <v>Does the lab store specimens properly prior to and following testing?</v>
      </c>
      <c r="J8" s="194"/>
      <c r="K8" s="194"/>
      <c r="L8" s="194"/>
    </row>
    <row r="9" spans="1:12" s="492" customFormat="1">
      <c r="A9" s="76" t="s">
        <v>6054</v>
      </c>
      <c r="B9" s="37" t="str">
        <f>Language!A1119</f>
        <v>Blood culture</v>
      </c>
      <c r="C9" s="516"/>
      <c r="D9" s="102"/>
      <c r="E9" s="102"/>
      <c r="F9" s="29">
        <f t="shared" ref="F9:F16" si="0">C9</f>
        <v>0</v>
      </c>
      <c r="G9" s="18" t="str">
        <f t="shared" ref="G9:G16" si="1">IF(F9="Yes",1,IF(F9="No",0,"'"))</f>
        <v>'</v>
      </c>
      <c r="H9" s="431"/>
      <c r="J9" s="194"/>
      <c r="K9" s="194"/>
      <c r="L9" s="194"/>
    </row>
    <row r="10" spans="1:12" s="492" customFormat="1">
      <c r="A10" s="76" t="s">
        <v>6055</v>
      </c>
      <c r="B10" s="37" t="str">
        <f>Language!A1120</f>
        <v>Urine culture</v>
      </c>
      <c r="C10" s="27"/>
      <c r="D10" s="102"/>
      <c r="E10" s="102"/>
      <c r="F10" s="29">
        <f t="shared" si="0"/>
        <v>0</v>
      </c>
      <c r="G10" s="18" t="str">
        <f t="shared" si="1"/>
        <v>'</v>
      </c>
      <c r="H10" s="431"/>
      <c r="J10" s="194"/>
      <c r="K10" s="194"/>
      <c r="L10" s="194"/>
    </row>
    <row r="11" spans="1:12" s="492" customFormat="1">
      <c r="A11" s="76" t="s">
        <v>6056</v>
      </c>
      <c r="B11" s="37" t="str">
        <f>Language!A1121</f>
        <v>Stool culture</v>
      </c>
      <c r="C11" s="27"/>
      <c r="D11" s="102"/>
      <c r="E11" s="102"/>
      <c r="F11" s="29">
        <f t="shared" si="0"/>
        <v>0</v>
      </c>
      <c r="G11" s="18" t="str">
        <f t="shared" si="1"/>
        <v>'</v>
      </c>
      <c r="H11" s="431"/>
      <c r="J11" s="194"/>
      <c r="K11" s="194"/>
      <c r="L11" s="194"/>
    </row>
    <row r="12" spans="1:12" s="492" customFormat="1">
      <c r="A12" s="76" t="s">
        <v>6057</v>
      </c>
      <c r="B12" s="82" t="str">
        <f>Language!A1122</f>
        <v>Respiratory culture</v>
      </c>
      <c r="C12" s="27"/>
      <c r="D12" s="102"/>
      <c r="E12" s="102"/>
      <c r="F12" s="29">
        <f t="shared" si="0"/>
        <v>0</v>
      </c>
      <c r="G12" s="18" t="str">
        <f t="shared" si="1"/>
        <v>'</v>
      </c>
      <c r="H12" s="431"/>
      <c r="J12" s="194"/>
      <c r="K12" s="194"/>
      <c r="L12" s="194"/>
    </row>
    <row r="13" spans="1:12" s="492" customFormat="1">
      <c r="A13" s="76" t="s">
        <v>6058</v>
      </c>
      <c r="B13" s="82" t="str">
        <f>Language!A1123</f>
        <v>Wound culture</v>
      </c>
      <c r="C13" s="27"/>
      <c r="D13" s="102"/>
      <c r="E13" s="102"/>
      <c r="F13" s="29">
        <f t="shared" si="0"/>
        <v>0</v>
      </c>
      <c r="G13" s="18" t="str">
        <f t="shared" si="1"/>
        <v>'</v>
      </c>
      <c r="H13" s="431"/>
      <c r="J13" s="194"/>
      <c r="K13" s="194"/>
      <c r="L13" s="194"/>
    </row>
    <row r="14" spans="1:12" s="492" customFormat="1">
      <c r="A14" s="76" t="s">
        <v>6059</v>
      </c>
      <c r="B14" s="82" t="str">
        <f>Language!A1124</f>
        <v>Genital culture</v>
      </c>
      <c r="C14" s="27"/>
      <c r="D14" s="102"/>
      <c r="E14" s="102"/>
      <c r="F14" s="29">
        <f t="shared" si="0"/>
        <v>0</v>
      </c>
      <c r="G14" s="18" t="str">
        <f t="shared" si="1"/>
        <v>'</v>
      </c>
      <c r="H14" s="431"/>
      <c r="J14" s="194"/>
      <c r="K14" s="194"/>
      <c r="L14" s="194"/>
    </row>
    <row r="15" spans="1:12" s="492" customFormat="1">
      <c r="A15" s="76" t="s">
        <v>6060</v>
      </c>
      <c r="B15" s="82" t="str">
        <f>Language!A1125</f>
        <v>Cerebrospinal fluid culture</v>
      </c>
      <c r="C15" s="27"/>
      <c r="D15" s="102"/>
      <c r="E15" s="102"/>
      <c r="F15" s="29">
        <f t="shared" si="0"/>
        <v>0</v>
      </c>
      <c r="G15" s="18" t="str">
        <f t="shared" si="1"/>
        <v>'</v>
      </c>
      <c r="H15" s="431"/>
      <c r="J15" s="194"/>
      <c r="K15" s="194"/>
      <c r="L15" s="194"/>
    </row>
    <row r="16" spans="1:12" s="492" customFormat="1">
      <c r="A16" s="76" t="s">
        <v>6061</v>
      </c>
      <c r="B16" s="82" t="str">
        <f>Language!A1126</f>
        <v>Sterile body fluid culture (pleural, pericardial, peritoneal, synovial)</v>
      </c>
      <c r="C16" s="27"/>
      <c r="D16" s="102"/>
      <c r="E16" s="102"/>
      <c r="F16" s="29">
        <f t="shared" si="0"/>
        <v>0</v>
      </c>
      <c r="G16" s="18" t="str">
        <f t="shared" si="1"/>
        <v>'</v>
      </c>
      <c r="H16" s="431"/>
      <c r="J16" s="194"/>
      <c r="K16" s="194"/>
      <c r="L16" s="194"/>
    </row>
    <row r="17" spans="1:12" s="492" customFormat="1" ht="23.55" customHeight="1">
      <c r="A17" s="507"/>
      <c r="B17" s="630" t="str">
        <f>Language!A1127</f>
        <v>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v>
      </c>
      <c r="C17" s="631"/>
      <c r="D17" s="631"/>
      <c r="E17" s="631"/>
      <c r="F17" s="631"/>
      <c r="G17" s="631"/>
      <c r="H17" s="631"/>
      <c r="J17" s="194"/>
      <c r="K17" s="194"/>
      <c r="L17" s="194"/>
    </row>
    <row r="18" spans="1:12" ht="16.2" thickBot="1">
      <c r="A18" s="16"/>
      <c r="B18" s="444"/>
      <c r="C18" s="227"/>
      <c r="D18" s="487"/>
      <c r="E18" s="194"/>
      <c r="F18" s="194"/>
      <c r="G18" s="194"/>
      <c r="H18" s="444"/>
      <c r="L18" s="22"/>
    </row>
    <row r="19" spans="1:12" ht="16.2" thickBot="1">
      <c r="A19" s="160"/>
      <c r="B19" s="75" t="str">
        <f>Language!A1128</f>
        <v>SPECIMEN REJECTION</v>
      </c>
      <c r="C19" s="72" t="str">
        <f>IF(COUNTBLANK(C21:C36)=16,"???",IF(COUNT(G21:G36)=0,"NA",AVERAGE(G21:G36)))</f>
        <v>???</v>
      </c>
      <c r="F19" s="29"/>
      <c r="G19" s="18"/>
      <c r="H19" s="427"/>
    </row>
    <row r="20" spans="1:12">
      <c r="A20" s="10"/>
      <c r="B20" s="20" t="str">
        <f>Language!A1129</f>
        <v>Are rejection criteria written down in an SOP or bench aide for each specimen type?</v>
      </c>
    </row>
    <row r="21" spans="1:12" s="492" customFormat="1">
      <c r="A21" s="76" t="s">
        <v>6062</v>
      </c>
      <c r="B21" s="37" t="str">
        <f>Language!A1130</f>
        <v>Blood culture</v>
      </c>
      <c r="C21" s="27"/>
      <c r="D21" s="102"/>
      <c r="E21" s="102"/>
      <c r="F21" s="29">
        <f t="shared" ref="F21:F36" si="2">C21</f>
        <v>0</v>
      </c>
      <c r="G21" s="18" t="str">
        <f t="shared" ref="G21:G30" si="3">IF(F21="Yes",1,IF(F21="No",0,"'"))</f>
        <v>'</v>
      </c>
      <c r="H21" s="431"/>
      <c r="J21" s="194"/>
      <c r="K21" s="194"/>
      <c r="L21" s="194"/>
    </row>
    <row r="22" spans="1:12" s="492" customFormat="1">
      <c r="A22" s="76" t="s">
        <v>6063</v>
      </c>
      <c r="B22" s="37" t="str">
        <f>Language!A1131</f>
        <v>Urine culture</v>
      </c>
      <c r="C22" s="27"/>
      <c r="D22" s="102"/>
      <c r="E22" s="102"/>
      <c r="F22" s="29">
        <f t="shared" si="2"/>
        <v>0</v>
      </c>
      <c r="G22" s="18" t="str">
        <f t="shared" si="3"/>
        <v>'</v>
      </c>
      <c r="H22" s="431"/>
      <c r="J22" s="194"/>
      <c r="K22" s="194"/>
      <c r="L22" s="194"/>
    </row>
    <row r="23" spans="1:12" s="492" customFormat="1">
      <c r="A23" s="76" t="s">
        <v>6064</v>
      </c>
      <c r="B23" s="37" t="str">
        <f>Language!A1132</f>
        <v>Stool culture</v>
      </c>
      <c r="C23" s="27"/>
      <c r="D23" s="102"/>
      <c r="E23" s="102"/>
      <c r="F23" s="29">
        <f t="shared" si="2"/>
        <v>0</v>
      </c>
      <c r="G23" s="18" t="str">
        <f t="shared" si="3"/>
        <v>'</v>
      </c>
      <c r="H23" s="431"/>
      <c r="J23" s="194"/>
      <c r="K23" s="194"/>
      <c r="L23" s="194"/>
    </row>
    <row r="24" spans="1:12" s="492" customFormat="1">
      <c r="A24" s="76" t="s">
        <v>6065</v>
      </c>
      <c r="B24" s="82" t="str">
        <f>Language!A1133</f>
        <v>Respiratory culture</v>
      </c>
      <c r="C24" s="27"/>
      <c r="D24" s="102"/>
      <c r="E24" s="102"/>
      <c r="F24" s="29">
        <f t="shared" si="2"/>
        <v>0</v>
      </c>
      <c r="G24" s="18" t="str">
        <f t="shared" si="3"/>
        <v>'</v>
      </c>
      <c r="H24" s="431"/>
      <c r="J24" s="194"/>
      <c r="K24" s="194"/>
      <c r="L24" s="194"/>
    </row>
    <row r="25" spans="1:12" s="492" customFormat="1">
      <c r="A25" s="76" t="s">
        <v>6066</v>
      </c>
      <c r="B25" s="82" t="str">
        <f>Language!A1134</f>
        <v>Wound culture</v>
      </c>
      <c r="C25" s="27"/>
      <c r="D25" s="102"/>
      <c r="E25" s="102"/>
      <c r="F25" s="29">
        <f t="shared" si="2"/>
        <v>0</v>
      </c>
      <c r="G25" s="18" t="str">
        <f t="shared" si="3"/>
        <v>'</v>
      </c>
      <c r="H25" s="431"/>
      <c r="J25" s="194"/>
      <c r="K25" s="194"/>
      <c r="L25" s="194"/>
    </row>
    <row r="26" spans="1:12" s="492" customFormat="1">
      <c r="A26" s="76" t="s">
        <v>6067</v>
      </c>
      <c r="B26" s="82" t="str">
        <f>Language!A1135</f>
        <v>Genital culture</v>
      </c>
      <c r="C26" s="27"/>
      <c r="D26" s="102"/>
      <c r="E26" s="102"/>
      <c r="F26" s="29">
        <f t="shared" si="2"/>
        <v>0</v>
      </c>
      <c r="G26" s="18" t="str">
        <f t="shared" si="3"/>
        <v>'</v>
      </c>
      <c r="H26" s="431"/>
      <c r="J26" s="194"/>
      <c r="K26" s="194"/>
      <c r="L26" s="194"/>
    </row>
    <row r="27" spans="1:12" s="492" customFormat="1">
      <c r="A27" s="76" t="s">
        <v>6068</v>
      </c>
      <c r="B27" s="82" t="str">
        <f>Language!A1136</f>
        <v>Cerebrospinal fluid culture</v>
      </c>
      <c r="C27" s="27"/>
      <c r="D27" s="102"/>
      <c r="E27" s="102"/>
      <c r="F27" s="29">
        <f t="shared" si="2"/>
        <v>0</v>
      </c>
      <c r="G27" s="18" t="str">
        <f t="shared" si="3"/>
        <v>'</v>
      </c>
      <c r="H27" s="431"/>
      <c r="J27" s="194"/>
      <c r="K27" s="194"/>
      <c r="L27" s="194"/>
    </row>
    <row r="28" spans="1:12" s="492" customFormat="1">
      <c r="A28" s="76" t="s">
        <v>6069</v>
      </c>
      <c r="B28" s="82" t="str">
        <f>Language!A1137</f>
        <v>Sterile body fluid culture (pleural, pericardial, peritoneal, synovial)</v>
      </c>
      <c r="C28" s="27"/>
      <c r="D28" s="102"/>
      <c r="E28" s="102"/>
      <c r="F28" s="29">
        <f t="shared" si="2"/>
        <v>0</v>
      </c>
      <c r="G28" s="18" t="str">
        <f t="shared" si="3"/>
        <v>'</v>
      </c>
      <c r="H28" s="431"/>
      <c r="J28" s="194"/>
      <c r="K28" s="194"/>
      <c r="L28" s="194"/>
    </row>
    <row r="29" spans="1:12" s="492" customFormat="1">
      <c r="A29" s="76" t="s">
        <v>6070</v>
      </c>
      <c r="B29" s="127" t="str">
        <f>Language!A1138</f>
        <v>Are unlabeled specimens rejected?</v>
      </c>
      <c r="C29" s="27"/>
      <c r="D29" s="102"/>
      <c r="E29" s="102"/>
      <c r="F29" s="29">
        <f t="shared" si="2"/>
        <v>0</v>
      </c>
      <c r="G29" s="18" t="str">
        <f t="shared" si="3"/>
        <v>'</v>
      </c>
      <c r="H29" s="431"/>
      <c r="I29" s="18" t="str">
        <f>IF(C29="No","Red Flag","'")</f>
        <v>'</v>
      </c>
      <c r="J29" s="194"/>
      <c r="K29" s="194"/>
      <c r="L29" s="194"/>
    </row>
    <row r="30" spans="1:12" s="492" customFormat="1">
      <c r="A30" s="76" t="s">
        <v>6071</v>
      </c>
      <c r="B30" s="127" t="str">
        <f>Language!A1139</f>
        <v>Are mislabeled specimens rejected?</v>
      </c>
      <c r="C30" s="27"/>
      <c r="D30" s="102"/>
      <c r="E30" s="102"/>
      <c r="F30" s="29">
        <f t="shared" si="2"/>
        <v>0</v>
      </c>
      <c r="G30" s="18" t="str">
        <f t="shared" si="3"/>
        <v>'</v>
      </c>
      <c r="H30" s="431"/>
      <c r="I30" s="18" t="str">
        <f>IF(C30="No","Red Flag","'")</f>
        <v>'</v>
      </c>
      <c r="J30" s="194"/>
      <c r="K30" s="194"/>
      <c r="L30" s="194"/>
    </row>
    <row r="31" spans="1:12" s="492" customFormat="1">
      <c r="A31" s="76" t="s">
        <v>6072</v>
      </c>
      <c r="B31" s="127" t="str">
        <f>Language!A1140</f>
        <v>Are leaking specimens rejected?</v>
      </c>
      <c r="C31" s="27"/>
      <c r="D31" s="102"/>
      <c r="E31" s="102"/>
      <c r="F31" s="29">
        <f t="shared" si="2"/>
        <v>0</v>
      </c>
      <c r="G31" s="18" t="str">
        <f>IF(F31="Yes",1,IF(F31="No",0,"'"))</f>
        <v>'</v>
      </c>
      <c r="H31" s="431"/>
      <c r="J31" s="194"/>
      <c r="K31" s="194"/>
      <c r="L31" s="194"/>
    </row>
    <row r="32" spans="1:12" s="492" customFormat="1">
      <c r="A32" s="76" t="s">
        <v>6073</v>
      </c>
      <c r="B32" s="127" t="str">
        <f>Language!A1141</f>
        <v>Are specimens rejected if not transported to the lab within established time limits?</v>
      </c>
      <c r="C32" s="27"/>
      <c r="D32" s="102"/>
      <c r="E32" s="102"/>
      <c r="F32" s="29">
        <f t="shared" si="2"/>
        <v>0</v>
      </c>
      <c r="G32" s="18" t="str">
        <f>IF(F32="Yes",1,IF(F32="No",0,"'"))</f>
        <v>'</v>
      </c>
      <c r="H32" s="431"/>
      <c r="J32" s="194"/>
      <c r="K32" s="194"/>
      <c r="L32" s="194"/>
    </row>
    <row r="33" spans="1:12" s="492" customFormat="1" ht="27.6">
      <c r="A33" s="76" t="s">
        <v>6074</v>
      </c>
      <c r="B33" s="127" t="str">
        <f>Language!A1142</f>
        <v>Are specimens rejected if there is evidence that they were not maintained in proper conditions during and prior to transport?</v>
      </c>
      <c r="C33" s="27"/>
      <c r="D33" s="102"/>
      <c r="E33" s="102"/>
      <c r="F33" s="29">
        <f t="shared" si="2"/>
        <v>0</v>
      </c>
      <c r="G33" s="18" t="str">
        <f t="shared" ref="G33:G36" si="4">IF(F33="Yes",1,IF(F33="No",0,"'"))</f>
        <v>'</v>
      </c>
      <c r="H33" s="431"/>
      <c r="J33" s="194"/>
      <c r="K33" s="194"/>
      <c r="L33" s="194"/>
    </row>
    <row r="34" spans="1:12">
      <c r="A34" s="76" t="s">
        <v>6075</v>
      </c>
      <c r="B34" s="20" t="str">
        <f>Language!A1143</f>
        <v>Is there evidence that specimen rejection criteria are enforced (review rejection log)?</v>
      </c>
      <c r="C34" s="27"/>
      <c r="D34" s="102"/>
      <c r="E34" s="102"/>
      <c r="F34" s="29">
        <f t="shared" si="2"/>
        <v>0</v>
      </c>
      <c r="G34" s="18" t="str">
        <f t="shared" si="4"/>
        <v>'</v>
      </c>
      <c r="H34" s="431"/>
    </row>
    <row r="35" spans="1:12">
      <c r="A35" s="76" t="s">
        <v>6076</v>
      </c>
      <c r="B35" s="20" t="str">
        <f>Language!A1144</f>
        <v>Does the lab maintain quality indicators regarding the number of specimens rejected?</v>
      </c>
      <c r="C35" s="27"/>
      <c r="D35" s="102"/>
      <c r="E35" s="102"/>
      <c r="F35" s="29">
        <f t="shared" si="2"/>
        <v>0</v>
      </c>
      <c r="G35" s="18" t="str">
        <f t="shared" si="4"/>
        <v>'</v>
      </c>
      <c r="H35" s="431"/>
    </row>
    <row r="36" spans="1:12" ht="27.6" customHeight="1">
      <c r="A36" s="76" t="s">
        <v>6077</v>
      </c>
      <c r="B36" s="20" t="str">
        <f>Language!A1145</f>
        <v>When specimens are rejected, does the lab notify the ward or clinic immediately so that a new specimen may be collected?</v>
      </c>
      <c r="C36" s="27"/>
      <c r="D36" s="102"/>
      <c r="E36" s="102"/>
      <c r="F36" s="29">
        <f t="shared" si="2"/>
        <v>0</v>
      </c>
      <c r="G36" s="18" t="str">
        <f t="shared" si="4"/>
        <v>'</v>
      </c>
      <c r="H36" s="431"/>
      <c r="I36" s="18" t="str">
        <f>IF(C36="No","Red Flag","'")</f>
        <v>'</v>
      </c>
    </row>
    <row r="37" spans="1:12" s="492" customFormat="1" ht="16.2" thickBot="1">
      <c r="A37" s="507"/>
      <c r="B37" s="483"/>
      <c r="H37" s="71"/>
      <c r="J37" s="194"/>
      <c r="K37" s="194"/>
      <c r="L37" s="194"/>
    </row>
    <row r="38" spans="1:12" ht="16.2" thickBot="1">
      <c r="A38" s="160"/>
      <c r="B38" s="75" t="str">
        <f>Language!A1146</f>
        <v>BLOOD SPECIMEN COLLECTION and TRANSPORT</v>
      </c>
      <c r="C38" s="72" t="str">
        <f>IF(COUNTBLANK(C39:C52)=14,"???",IF(COUNT(G39:G52)=0,"NA",AVERAGE(G39:G52)))</f>
        <v>???</v>
      </c>
      <c r="H38" s="427"/>
    </row>
    <row r="39" spans="1:12" ht="27.6" customHeight="1">
      <c r="A39" s="76" t="s">
        <v>6078</v>
      </c>
      <c r="B39" s="20" t="str">
        <f>Language!A1147</f>
        <v>Does the lab provide blood culture specimen collection instructions/SOPs to patient sample collection areas?</v>
      </c>
      <c r="C39" s="27"/>
      <c r="D39" s="102"/>
      <c r="E39" s="102"/>
      <c r="F39" s="29">
        <f>C39</f>
        <v>0</v>
      </c>
      <c r="G39" s="18" t="str">
        <f t="shared" ref="G39" si="5">IF(F39="Yes",1,IF(F39="No",0,"'"))</f>
        <v>'</v>
      </c>
      <c r="H39" s="431"/>
    </row>
    <row r="40" spans="1:12" ht="27.6" customHeight="1">
      <c r="A40" s="76" t="s">
        <v>6079</v>
      </c>
      <c r="B40" s="20" t="str">
        <f>Language!A1148</f>
        <v>Does the lab (or other department) provide annual training to clinical staff on blood culture specimen collection?</v>
      </c>
      <c r="C40" s="27"/>
      <c r="D40" s="102"/>
      <c r="E40" s="102"/>
      <c r="F40" s="29">
        <f>C40</f>
        <v>0</v>
      </c>
      <c r="G40" s="18" t="str">
        <f>IF(F40="Yes",1,IF(F40="No",0,"'"))</f>
        <v>'</v>
      </c>
      <c r="H40" s="431"/>
    </row>
    <row r="41" spans="1:12" ht="27.6" customHeight="1">
      <c r="A41" s="10"/>
      <c r="B41" s="20" t="str">
        <f>Language!A1149</f>
        <v>Review the blood culture specimen collection instructions. Does it address the following items? (If specimen collection instructions do not exist or are not available to review, answer "No" to each.)</v>
      </c>
      <c r="H41" s="492"/>
    </row>
    <row r="42" spans="1:12">
      <c r="A42" s="76" t="s">
        <v>6080</v>
      </c>
      <c r="B42" s="82" t="str">
        <f>Language!A1150</f>
        <v>Collect prior to administering antibiotics to patient</v>
      </c>
      <c r="C42" s="27"/>
      <c r="D42" s="102"/>
      <c r="E42" s="102"/>
      <c r="F42" s="29">
        <f t="shared" ref="F42:F52" si="6">C42</f>
        <v>0</v>
      </c>
      <c r="G42" s="18" t="str">
        <f t="shared" ref="G42:G52" si="7">IF(F42="Yes",1,IF(F42="No",0,"'"))</f>
        <v>'</v>
      </c>
      <c r="H42" s="431"/>
    </row>
    <row r="43" spans="1:12">
      <c r="A43" s="76" t="s">
        <v>6081</v>
      </c>
      <c r="B43" s="37" t="str">
        <f>Language!A1151</f>
        <v>Antiseptic skin preparation and aseptic collection technique</v>
      </c>
      <c r="C43" s="27"/>
      <c r="D43" s="102"/>
      <c r="E43" s="102"/>
      <c r="F43" s="29">
        <f t="shared" si="6"/>
        <v>0</v>
      </c>
      <c r="G43" s="18" t="str">
        <f t="shared" si="7"/>
        <v>'</v>
      </c>
      <c r="H43" s="431"/>
    </row>
    <row r="44" spans="1:12">
      <c r="A44" s="76" t="s">
        <v>6082</v>
      </c>
      <c r="B44" s="37" t="str">
        <f>Language!A1152</f>
        <v>Antiseptic stopper preparation and aseptic inoculation of bottles</v>
      </c>
      <c r="C44" s="27"/>
      <c r="D44" s="102"/>
      <c r="E44" s="102"/>
      <c r="F44" s="29">
        <f t="shared" si="6"/>
        <v>0</v>
      </c>
      <c r="G44" s="18" t="str">
        <f t="shared" si="7"/>
        <v>'</v>
      </c>
      <c r="H44" s="431"/>
    </row>
    <row r="45" spans="1:12">
      <c r="A45" s="76" t="s">
        <v>6083</v>
      </c>
      <c r="B45" s="37" t="str">
        <f>Language!A1153</f>
        <v>Minimum volume for adults (typically 10-15mL per bottle)</v>
      </c>
      <c r="C45" s="27"/>
      <c r="D45" s="102"/>
      <c r="E45" s="102"/>
      <c r="F45" s="29">
        <f t="shared" si="6"/>
        <v>0</v>
      </c>
      <c r="G45" s="18" t="str">
        <f t="shared" si="7"/>
        <v>'</v>
      </c>
      <c r="H45" s="431"/>
    </row>
    <row r="46" spans="1:12">
      <c r="A46" s="76" t="s">
        <v>6084</v>
      </c>
      <c r="B46" s="37" t="str">
        <f>Language!A1154</f>
        <v>Minimum volume for children (typically 5-10mL per bottle)</v>
      </c>
      <c r="C46" s="27"/>
      <c r="D46" s="102"/>
      <c r="E46" s="102"/>
      <c r="F46" s="29">
        <f t="shared" si="6"/>
        <v>0</v>
      </c>
      <c r="G46" s="18" t="str">
        <f t="shared" si="7"/>
        <v>'</v>
      </c>
      <c r="H46" s="431"/>
    </row>
    <row r="47" spans="1:12">
      <c r="A47" s="76" t="s">
        <v>6085</v>
      </c>
      <c r="B47" s="37" t="str">
        <f>Language!A1155</f>
        <v>Minimum volume for neonates (typically 0.5-1mL per bottle)</v>
      </c>
      <c r="C47" s="27"/>
      <c r="D47" s="102"/>
      <c r="E47" s="102"/>
      <c r="F47" s="29">
        <f t="shared" si="6"/>
        <v>0</v>
      </c>
      <c r="G47" s="18" t="str">
        <f t="shared" si="7"/>
        <v>'</v>
      </c>
      <c r="H47" s="431"/>
    </row>
    <row r="48" spans="1:12">
      <c r="A48" s="76" t="s">
        <v>6086</v>
      </c>
      <c r="B48" s="550" t="str">
        <f>Language!A1156</f>
        <v>Does laboratory policy require that two "sets" of blood cultures are drawn?</v>
      </c>
      <c r="C48" s="27"/>
      <c r="D48" s="29"/>
      <c r="E48" s="29"/>
      <c r="F48" s="29">
        <f t="shared" si="6"/>
        <v>0</v>
      </c>
      <c r="G48" s="18" t="str">
        <f t="shared" si="7"/>
        <v>'</v>
      </c>
      <c r="H48" s="433"/>
    </row>
    <row r="49" spans="1:8">
      <c r="A49" s="76" t="s">
        <v>6087</v>
      </c>
      <c r="B49" s="550" t="str">
        <f>Language!A1157</f>
        <v>Does the policy specify that each blood culture should be obtained from a different venipuncture site?</v>
      </c>
      <c r="C49" s="27"/>
      <c r="D49" s="29"/>
      <c r="E49" s="29"/>
      <c r="F49" s="29">
        <f t="shared" si="6"/>
        <v>0</v>
      </c>
      <c r="G49" s="18" t="str">
        <f t="shared" si="7"/>
        <v>'</v>
      </c>
      <c r="H49" s="431"/>
    </row>
    <row r="50" spans="1:8">
      <c r="A50" s="76" t="s">
        <v>6088</v>
      </c>
      <c r="B50" s="37" t="str">
        <f>Language!A1158</f>
        <v>Proper bottle labeling (patient name, ID, date, time, venipuncture site)</v>
      </c>
      <c r="C50" s="27"/>
      <c r="D50" s="102"/>
      <c r="E50" s="102"/>
      <c r="F50" s="29">
        <f t="shared" si="6"/>
        <v>0</v>
      </c>
      <c r="G50" s="18" t="str">
        <f t="shared" si="7"/>
        <v>'</v>
      </c>
      <c r="H50" s="431"/>
    </row>
    <row r="51" spans="1:8">
      <c r="A51" s="76" t="s">
        <v>6089</v>
      </c>
      <c r="B51" s="37" t="str">
        <f>Language!A1159</f>
        <v>Transport bottles to the lab within 1 hour of collection</v>
      </c>
      <c r="C51" s="27"/>
      <c r="D51" s="102"/>
      <c r="E51" s="102"/>
      <c r="F51" s="29">
        <f t="shared" si="6"/>
        <v>0</v>
      </c>
      <c r="G51" s="18" t="str">
        <f t="shared" si="7"/>
        <v>'</v>
      </c>
      <c r="H51" s="431"/>
    </row>
    <row r="52" spans="1:8" ht="27.6" customHeight="1">
      <c r="A52" s="76" t="s">
        <v>6090</v>
      </c>
      <c r="B52" s="37" t="str">
        <f>Language!A1160</f>
        <v>If transport will be delayed, store bottles for automated systems at room temperature; store bottles for manual systems at 37°C.</v>
      </c>
      <c r="C52" s="27"/>
      <c r="D52" s="102"/>
      <c r="E52" s="102"/>
      <c r="F52" s="29">
        <f t="shared" si="6"/>
        <v>0</v>
      </c>
      <c r="G52" s="18" t="str">
        <f t="shared" si="7"/>
        <v>'</v>
      </c>
      <c r="H52" s="431"/>
    </row>
    <row r="53" spans="1:8" ht="16.2" thickBot="1">
      <c r="A53" s="10"/>
      <c r="B53" s="22"/>
    </row>
    <row r="54" spans="1:8" ht="16.2" thickBot="1">
      <c r="A54" s="160"/>
      <c r="B54" s="75" t="str">
        <f>Language!A1161</f>
        <v>URINE SPECIMEN COLLECTION and TRANSPORT</v>
      </c>
      <c r="C54" s="72" t="str">
        <f>IF(COUNTBLANK(C55:C64)=10,"???",IF(COUNT(G55:G64)=0,"NA",AVERAGE(G55:G64)))</f>
        <v>???</v>
      </c>
      <c r="H54" s="427"/>
    </row>
    <row r="55" spans="1:8" ht="27.6" customHeight="1">
      <c r="A55" s="118" t="s">
        <v>6091</v>
      </c>
      <c r="B55" s="20" t="str">
        <f>Language!A1162</f>
        <v>Does the lab provide urine culture specimen collection instructions/SOPs to patient sample collection areas?</v>
      </c>
      <c r="C55" s="27"/>
      <c r="D55" s="102"/>
      <c r="E55" s="102"/>
      <c r="F55" s="29">
        <f>C55</f>
        <v>0</v>
      </c>
      <c r="G55" s="18" t="str">
        <f t="shared" ref="G55:G58" si="8">IF(F55="Yes",1,IF(F55="No",0,"'"))</f>
        <v>'</v>
      </c>
      <c r="H55" s="431"/>
    </row>
    <row r="56" spans="1:8" ht="27.6" customHeight="1">
      <c r="A56" s="118" t="s">
        <v>6092</v>
      </c>
      <c r="B56" s="20" t="str">
        <f>Language!A1163</f>
        <v>Does the lab (or other department) provide annual refresher training to clinical staff on urine culture specimen collection?</v>
      </c>
      <c r="C56" s="27"/>
      <c r="D56" s="102"/>
      <c r="E56" s="102"/>
      <c r="F56" s="29">
        <f>C56</f>
        <v>0</v>
      </c>
      <c r="G56" s="18" t="str">
        <f t="shared" si="8"/>
        <v>'</v>
      </c>
      <c r="H56" s="431"/>
    </row>
    <row r="57" spans="1:8">
      <c r="A57" s="10"/>
      <c r="B57" s="20" t="str">
        <f>Language!A1164</f>
        <v>Review the urine culture specimen collection instructions. Does it address the following items?</v>
      </c>
    </row>
    <row r="58" spans="1:8">
      <c r="A58" s="76" t="s">
        <v>6093</v>
      </c>
      <c r="B58" s="37" t="str">
        <f>Language!A1165</f>
        <v>Antiseptic cleaning instructions for women, men and infants</v>
      </c>
      <c r="C58" s="27"/>
      <c r="D58" s="102"/>
      <c r="E58" s="102"/>
      <c r="F58" s="29">
        <f>C58</f>
        <v>0</v>
      </c>
      <c r="G58" s="18" t="str">
        <f t="shared" si="8"/>
        <v>'</v>
      </c>
      <c r="H58" s="431"/>
    </row>
    <row r="59" spans="1:8">
      <c r="A59" s="76" t="s">
        <v>6094</v>
      </c>
      <c r="B59" s="37" t="str">
        <f>Language!A1166</f>
        <v>Mid-stream or "clean catch" instructions</v>
      </c>
      <c r="C59" s="27"/>
      <c r="D59" s="102"/>
      <c r="E59" s="102"/>
      <c r="F59" s="29"/>
      <c r="G59" s="18"/>
      <c r="H59" s="431"/>
    </row>
    <row r="60" spans="1:8">
      <c r="A60" s="76" t="s">
        <v>6095</v>
      </c>
      <c r="B60" s="37" t="str">
        <f>Language!A1167</f>
        <v>Sterile containers only</v>
      </c>
      <c r="C60" s="27"/>
      <c r="D60" s="102"/>
      <c r="E60" s="102"/>
      <c r="F60" s="29">
        <f>C60</f>
        <v>0</v>
      </c>
      <c r="G60" s="18" t="str">
        <f t="shared" ref="G60:G64" si="9">IF(F60="Yes",1,IF(F60="No",0,"'"))</f>
        <v>'</v>
      </c>
      <c r="H60" s="431"/>
    </row>
    <row r="61" spans="1:8">
      <c r="A61" s="76" t="s">
        <v>6096</v>
      </c>
      <c r="B61" s="37" t="str">
        <f>Language!A1168</f>
        <v>Minimum volume (typically 3mL)</v>
      </c>
      <c r="C61" s="27"/>
      <c r="D61" s="102"/>
      <c r="E61" s="102"/>
      <c r="F61" s="29">
        <f>C61</f>
        <v>0</v>
      </c>
      <c r="G61" s="18" t="str">
        <f t="shared" si="9"/>
        <v>'</v>
      </c>
      <c r="H61" s="431"/>
    </row>
    <row r="62" spans="1:8">
      <c r="A62" s="76" t="s">
        <v>6097</v>
      </c>
      <c r="B62" s="37" t="str">
        <f>Language!A1169</f>
        <v>Proper labeling instructions</v>
      </c>
      <c r="C62" s="27"/>
      <c r="D62" s="102"/>
      <c r="E62" s="102"/>
      <c r="F62" s="29">
        <f>C62</f>
        <v>0</v>
      </c>
      <c r="G62" s="18" t="str">
        <f t="shared" si="9"/>
        <v>'</v>
      </c>
      <c r="H62" s="431"/>
    </row>
    <row r="63" spans="1:8">
      <c r="A63" s="76" t="s">
        <v>6098</v>
      </c>
      <c r="B63" s="37" t="str">
        <f>Language!A1170</f>
        <v>Transport to lab at room temperature within 2 hours of collection</v>
      </c>
      <c r="C63" s="27"/>
      <c r="D63" s="501"/>
      <c r="E63" s="501"/>
      <c r="F63" s="29">
        <f>C63</f>
        <v>0</v>
      </c>
      <c r="G63" s="18" t="str">
        <f t="shared" si="9"/>
        <v>'</v>
      </c>
      <c r="H63" s="416"/>
    </row>
    <row r="64" spans="1:8" ht="16.2" thickBot="1">
      <c r="A64" s="76" t="s">
        <v>6099</v>
      </c>
      <c r="B64" s="37" t="str">
        <f>Language!A1171</f>
        <v>If transport will be delayed, store refrigerated for up to 24 hours</v>
      </c>
      <c r="C64" s="27"/>
      <c r="D64" s="102"/>
      <c r="E64" s="102"/>
      <c r="F64" s="29">
        <f>C64</f>
        <v>0</v>
      </c>
      <c r="G64" s="18" t="str">
        <f t="shared" si="9"/>
        <v>'</v>
      </c>
      <c r="H64" s="431"/>
    </row>
    <row r="65" spans="1:8" ht="16.2" thickBot="1">
      <c r="A65" s="160"/>
      <c r="B65" s="75" t="str">
        <f>Language!A1172</f>
        <v>STOOL SPECIMEN COLLECTION and TRANSPORT</v>
      </c>
      <c r="C65" s="72" t="str">
        <f>IF(COUNTBLANK(C66:C75)=10,"???",IF(COUNT(G66:G75)=0,"NA",AVERAGE(G66:G75)))</f>
        <v>???</v>
      </c>
      <c r="H65" s="427"/>
    </row>
    <row r="66" spans="1:8" ht="27.6" customHeight="1">
      <c r="A66" s="76" t="s">
        <v>6100</v>
      </c>
      <c r="B66" s="20" t="str">
        <f>Language!A1173</f>
        <v>Does the lab provide stool culture specimen collection instructions/SOPs to patient sample collection areas?</v>
      </c>
      <c r="C66" s="27"/>
      <c r="D66" s="102"/>
      <c r="E66" s="102"/>
      <c r="F66" s="29">
        <f>C66</f>
        <v>0</v>
      </c>
      <c r="G66" s="18" t="str">
        <f t="shared" ref="G66:G67" si="10">IF(F66="Yes",1,IF(F66="No",0,"'"))</f>
        <v>'</v>
      </c>
      <c r="H66" s="431"/>
    </row>
    <row r="67" spans="1:8" ht="27.6" customHeight="1">
      <c r="A67" s="76" t="s">
        <v>6101</v>
      </c>
      <c r="B67" s="20" t="str">
        <f>Language!A1174</f>
        <v>Does the lab (or other department) provide annual refresher training to clinical staff on stool culture specimen collection?</v>
      </c>
      <c r="C67" s="27"/>
      <c r="D67" s="102"/>
      <c r="E67" s="102"/>
      <c r="F67" s="29">
        <f>C67</f>
        <v>0</v>
      </c>
      <c r="G67" s="18" t="str">
        <f t="shared" si="10"/>
        <v>'</v>
      </c>
      <c r="H67" s="431"/>
    </row>
    <row r="68" spans="1:8">
      <c r="A68" s="10"/>
      <c r="B68" s="20" t="str">
        <f>Language!A1175</f>
        <v>Review the stool culture specimen collection instructions. Does it address the following items?</v>
      </c>
    </row>
    <row r="69" spans="1:8">
      <c r="A69" s="76" t="s">
        <v>6102</v>
      </c>
      <c r="B69" s="37" t="str">
        <f>Language!A1176</f>
        <v>Collection technique</v>
      </c>
      <c r="C69" s="27"/>
      <c r="D69" s="501"/>
      <c r="E69" s="501"/>
      <c r="F69" s="29">
        <f t="shared" ref="F69:F75" si="11">C69</f>
        <v>0</v>
      </c>
      <c r="G69" s="18" t="str">
        <f t="shared" ref="G69:G75" si="12">IF(F69="Yes",1,IF(F69="No",0,"'"))</f>
        <v>'</v>
      </c>
      <c r="H69" s="416"/>
    </row>
    <row r="70" spans="1:8">
      <c r="A70" s="76" t="s">
        <v>6103</v>
      </c>
      <c r="B70" s="37" t="str">
        <f>Language!A1177</f>
        <v>Approved containers</v>
      </c>
      <c r="C70" s="27"/>
      <c r="D70" s="501"/>
      <c r="E70" s="501"/>
      <c r="F70" s="29">
        <f t="shared" si="11"/>
        <v>0</v>
      </c>
      <c r="G70" s="18" t="str">
        <f t="shared" si="12"/>
        <v>'</v>
      </c>
      <c r="H70" s="416"/>
    </row>
    <row r="71" spans="1:8">
      <c r="A71" s="76" t="s">
        <v>6104</v>
      </c>
      <c r="B71" s="37" t="str">
        <f>Language!A1178</f>
        <v>Min/Max volume</v>
      </c>
      <c r="C71" s="27"/>
      <c r="D71" s="501"/>
      <c r="E71" s="501"/>
      <c r="F71" s="29">
        <f t="shared" si="11"/>
        <v>0</v>
      </c>
      <c r="G71" s="18" t="str">
        <f t="shared" si="12"/>
        <v>'</v>
      </c>
      <c r="H71" s="416"/>
    </row>
    <row r="72" spans="1:8">
      <c r="A72" s="76" t="s">
        <v>6105</v>
      </c>
      <c r="B72" s="37" t="str">
        <f>Language!A1179</f>
        <v>Proper labeling</v>
      </c>
      <c r="C72" s="27"/>
      <c r="D72" s="501"/>
      <c r="E72" s="501"/>
      <c r="F72" s="29">
        <f t="shared" si="11"/>
        <v>0</v>
      </c>
      <c r="G72" s="18" t="str">
        <f t="shared" si="12"/>
        <v>'</v>
      </c>
      <c r="H72" s="416"/>
    </row>
    <row r="73" spans="1:8">
      <c r="A73" s="76" t="s">
        <v>6106</v>
      </c>
      <c r="B73" s="37" t="str">
        <f>Language!A1180</f>
        <v>Transport to the lab at room temperature within 2 hours</v>
      </c>
      <c r="C73" s="27"/>
      <c r="D73" s="501"/>
      <c r="E73" s="501"/>
      <c r="F73" s="29">
        <f t="shared" si="11"/>
        <v>0</v>
      </c>
      <c r="G73" s="18" t="str">
        <f t="shared" si="12"/>
        <v>'</v>
      </c>
      <c r="H73" s="416"/>
    </row>
    <row r="74" spans="1:8" ht="27.6" customHeight="1">
      <c r="A74" s="76" t="s">
        <v>6107</v>
      </c>
      <c r="B74" s="37" t="str">
        <f>Language!A1181</f>
        <v>If transport will be delayed, place specimen in an approved transport medium (such as Cary-Blair) for up to 24 hours</v>
      </c>
      <c r="C74" s="27"/>
      <c r="D74" s="501"/>
      <c r="E74" s="501"/>
      <c r="F74" s="29">
        <f t="shared" si="11"/>
        <v>0</v>
      </c>
      <c r="G74" s="18" t="str">
        <f t="shared" si="12"/>
        <v>'</v>
      </c>
      <c r="H74" s="416"/>
    </row>
    <row r="75" spans="1:8" ht="27.6" customHeight="1">
      <c r="A75" s="76" t="s">
        <v>6108</v>
      </c>
      <c r="B75" s="37" t="str">
        <f>Language!A1182</f>
        <v>If transport will be delayed, do not refrigerate stool since some pathogens, especially Shigella spp, will die at low temperatures</v>
      </c>
      <c r="C75" s="27"/>
      <c r="D75" s="501"/>
      <c r="E75" s="501"/>
      <c r="F75" s="29">
        <f t="shared" si="11"/>
        <v>0</v>
      </c>
      <c r="G75" s="18" t="str">
        <f t="shared" si="12"/>
        <v>'</v>
      </c>
      <c r="H75" s="416"/>
    </row>
    <row r="76" spans="1:8">
      <c r="B76" s="8"/>
    </row>
    <row r="77" spans="1:8">
      <c r="B77" s="8"/>
    </row>
    <row r="78" spans="1:8">
      <c r="B78" s="8"/>
    </row>
    <row r="79" spans="1:8">
      <c r="B79" s="8"/>
    </row>
    <row r="80" spans="1:8">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sheetData>
  <sheetProtection algorithmName="SHA-256" hashValue="neGBZy2q6kmfgl4HipInE4jv0jDjKncKOg5T4+UGYqg=" saltValue="cFhwnzy5Y/Qndc4juQkduA==" spinCount="100000" sheet="1" selectLockedCells="1"/>
  <mergeCells count="1">
    <mergeCell ref="B17:H17"/>
  </mergeCells>
  <phoneticPr fontId="45" type="noConversion"/>
  <conditionalFormatting sqref="C3">
    <cfRule type="cellIs" dxfId="914" priority="242" stopIfTrue="1" operator="greaterThanOrEqual">
      <formula>0.8</formula>
    </cfRule>
    <cfRule type="cellIs" dxfId="913" priority="243" stopIfTrue="1" operator="between">
      <formula>0.5</formula>
      <formula>0.799</formula>
    </cfRule>
    <cfRule type="cellIs" dxfId="912" priority="244" stopIfTrue="1" operator="lessThan">
      <formula>0.5</formula>
    </cfRule>
  </conditionalFormatting>
  <conditionalFormatting sqref="C19">
    <cfRule type="cellIs" dxfId="911" priority="109" stopIfTrue="1" operator="lessThan">
      <formula>0.5</formula>
    </cfRule>
    <cfRule type="cellIs" dxfId="910" priority="108" stopIfTrue="1" operator="between">
      <formula>0.5</formula>
      <formula>0.799</formula>
    </cfRule>
    <cfRule type="cellIs" dxfId="909" priority="107" stopIfTrue="1" operator="greaterThanOrEqual">
      <formula>0.8</formula>
    </cfRule>
  </conditionalFormatting>
  <conditionalFormatting sqref="C38">
    <cfRule type="cellIs" dxfId="908" priority="247" stopIfTrue="1" operator="lessThan">
      <formula>0.5</formula>
    </cfRule>
    <cfRule type="cellIs" dxfId="907" priority="245" stopIfTrue="1" operator="greaterThanOrEqual">
      <formula>0.8</formula>
    </cfRule>
    <cfRule type="cellIs" dxfId="906" priority="246" stopIfTrue="1" operator="between">
      <formula>0.5</formula>
      <formula>0.799</formula>
    </cfRule>
  </conditionalFormatting>
  <conditionalFormatting sqref="C54">
    <cfRule type="cellIs" dxfId="905" priority="174" stopIfTrue="1" operator="between">
      <formula>0.5</formula>
      <formula>0.799</formula>
    </cfRule>
    <cfRule type="cellIs" dxfId="904" priority="173" stopIfTrue="1" operator="greaterThanOrEqual">
      <formula>0.8</formula>
    </cfRule>
    <cfRule type="cellIs" dxfId="903" priority="175" stopIfTrue="1" operator="lessThan">
      <formula>0.5</formula>
    </cfRule>
  </conditionalFormatting>
  <conditionalFormatting sqref="C65">
    <cfRule type="cellIs" dxfId="902" priority="171" stopIfTrue="1" operator="lessThan">
      <formula>0.5</formula>
    </cfRule>
    <cfRule type="cellIs" dxfId="901" priority="170" stopIfTrue="1" operator="between">
      <formula>0.5</formula>
      <formula>0.799</formula>
    </cfRule>
    <cfRule type="cellIs" dxfId="900" priority="169" stopIfTrue="1" operator="greaterThanOrEqual">
      <formula>0.8</formula>
    </cfRule>
  </conditionalFormatting>
  <conditionalFormatting sqref="G1:G7 G9:G16">
    <cfRule type="containsText" dxfId="899" priority="21" stopIfTrue="1" operator="containsText" text="RED FLAG">
      <formula>NOT(ISERROR(SEARCH("RED FLAG",G1)))</formula>
    </cfRule>
  </conditionalFormatting>
  <conditionalFormatting sqref="G3:G7 G9:G16">
    <cfRule type="cellIs" dxfId="898" priority="22" stopIfTrue="1" operator="lessThan">
      <formula>0.5</formula>
    </cfRule>
    <cfRule type="cellIs" dxfId="897" priority="23" stopIfTrue="1" operator="between">
      <formula>0.5</formula>
      <formula>0.75</formula>
    </cfRule>
    <cfRule type="cellIs" dxfId="896" priority="24" stopIfTrue="1" operator="greaterThan">
      <formula>0.75</formula>
    </cfRule>
  </conditionalFormatting>
  <conditionalFormatting sqref="G19">
    <cfRule type="cellIs" dxfId="895" priority="122" stopIfTrue="1" operator="between">
      <formula>0.5</formula>
      <formula>0.75</formula>
    </cfRule>
    <cfRule type="cellIs" dxfId="894" priority="121" stopIfTrue="1" operator="lessThan">
      <formula>0.5</formula>
    </cfRule>
    <cfRule type="containsText" dxfId="893" priority="120" stopIfTrue="1" operator="containsText" text="RED FLAG">
      <formula>NOT(ISERROR(SEARCH("RED FLAG",G19)))</formula>
    </cfRule>
    <cfRule type="cellIs" dxfId="892" priority="123" stopIfTrue="1" operator="greaterThan">
      <formula>0.75</formula>
    </cfRule>
  </conditionalFormatting>
  <conditionalFormatting sqref="G21:G36 G42:G52">
    <cfRule type="cellIs" dxfId="891" priority="19" stopIfTrue="1" operator="between">
      <formula>0.5</formula>
      <formula>0.75</formula>
    </cfRule>
    <cfRule type="cellIs" dxfId="890" priority="18" stopIfTrue="1" operator="lessThan">
      <formula>0.5</formula>
    </cfRule>
    <cfRule type="cellIs" dxfId="889" priority="20" stopIfTrue="1" operator="greaterThan">
      <formula>0.75</formula>
    </cfRule>
  </conditionalFormatting>
  <conditionalFormatting sqref="G21:G52">
    <cfRule type="containsText" dxfId="888" priority="9" stopIfTrue="1" operator="containsText" text="RED FLAG">
      <formula>NOT(ISERROR(SEARCH("RED FLAG",G21)))</formula>
    </cfRule>
  </conditionalFormatting>
  <conditionalFormatting sqref="G39:G40">
    <cfRule type="cellIs" dxfId="887" priority="11" stopIfTrue="1" operator="between">
      <formula>0.5</formula>
      <formula>0.75</formula>
    </cfRule>
    <cfRule type="cellIs" dxfId="886" priority="10" stopIfTrue="1" operator="lessThan">
      <formula>0.5</formula>
    </cfRule>
    <cfRule type="cellIs" dxfId="885" priority="12" stopIfTrue="1" operator="greaterThan">
      <formula>0.75</formula>
    </cfRule>
  </conditionalFormatting>
  <conditionalFormatting sqref="G54:G1048576">
    <cfRule type="containsText" dxfId="884" priority="1" stopIfTrue="1" operator="containsText" text="RED FLAG">
      <formula>NOT(ISERROR(SEARCH("RED FLAG",G54)))</formula>
    </cfRule>
  </conditionalFormatting>
  <conditionalFormatting sqref="G55:G56 G66:G67 G69:G75">
    <cfRule type="cellIs" dxfId="883" priority="16" stopIfTrue="1" operator="greaterThan">
      <formula>0.75</formula>
    </cfRule>
    <cfRule type="cellIs" dxfId="882" priority="15" stopIfTrue="1" operator="between">
      <formula>0.5</formula>
      <formula>0.75</formula>
    </cfRule>
    <cfRule type="cellIs" dxfId="881" priority="14" stopIfTrue="1" operator="lessThan">
      <formula>0.5</formula>
    </cfRule>
  </conditionalFormatting>
  <conditionalFormatting sqref="G58:G64">
    <cfRule type="cellIs" dxfId="880" priority="4" stopIfTrue="1" operator="greaterThan">
      <formula>0.75</formula>
    </cfRule>
    <cfRule type="cellIs" dxfId="879" priority="3" stopIfTrue="1" operator="between">
      <formula>0.5</formula>
      <formula>0.75</formula>
    </cfRule>
    <cfRule type="cellIs" dxfId="878" priority="2" stopIfTrue="1" operator="lessThan">
      <formula>0.5</formula>
    </cfRule>
  </conditionalFormatting>
  <conditionalFormatting sqref="I5">
    <cfRule type="cellIs" dxfId="877" priority="39" stopIfTrue="1" operator="greaterThan">
      <formula>0.75</formula>
    </cfRule>
    <cfRule type="cellIs" dxfId="876" priority="38" stopIfTrue="1" operator="between">
      <formula>0.5</formula>
      <formula>0.75</formula>
    </cfRule>
    <cfRule type="cellIs" dxfId="875" priority="37" stopIfTrue="1" operator="lessThan">
      <formula>0.5</formula>
    </cfRule>
    <cfRule type="containsText" dxfId="874" priority="36" stopIfTrue="1" operator="containsText" text="RED FLAG">
      <formula>NOT(ISERROR(SEARCH("RED FLAG",I5)))</formula>
    </cfRule>
  </conditionalFormatting>
  <conditionalFormatting sqref="I29:I30">
    <cfRule type="cellIs" dxfId="873" priority="42" stopIfTrue="1" operator="between">
      <formula>0.5</formula>
      <formula>0.75</formula>
    </cfRule>
    <cfRule type="cellIs" dxfId="872" priority="41" stopIfTrue="1" operator="lessThan">
      <formula>0.5</formula>
    </cfRule>
    <cfRule type="containsText" dxfId="871" priority="40" stopIfTrue="1" operator="containsText" text="RED FLAG">
      <formula>NOT(ISERROR(SEARCH("RED FLAG",I29)))</formula>
    </cfRule>
    <cfRule type="cellIs" dxfId="870" priority="43" stopIfTrue="1" operator="greaterThan">
      <formula>0.75</formula>
    </cfRule>
  </conditionalFormatting>
  <conditionalFormatting sqref="I36">
    <cfRule type="containsText" dxfId="869" priority="48" stopIfTrue="1" operator="containsText" text="RED FLAG">
      <formula>NOT(ISERROR(SEARCH("RED FLAG",I36)))</formula>
    </cfRule>
    <cfRule type="cellIs" dxfId="868" priority="49" stopIfTrue="1" operator="lessThan">
      <formula>0.5</formula>
    </cfRule>
    <cfRule type="cellIs" dxfId="867" priority="50" stopIfTrue="1" operator="between">
      <formula>0.5</formula>
      <formula>0.75</formula>
    </cfRule>
    <cfRule type="cellIs" dxfId="866" priority="51" stopIfTrue="1" operator="greaterThan">
      <formula>0.75</formula>
    </cfRule>
  </conditionalFormatting>
  <dataValidations count="2">
    <dataValidation type="list" allowBlank="1" showInputMessage="1" showErrorMessage="1" sqref="C7 C45:C47 C9:C16 C21:C28" xr:uid="{00000000-0002-0000-0C00-000000000000}">
      <formula1>"Yes,No,NA"</formula1>
    </dataValidation>
    <dataValidation type="list" allowBlank="1" showInputMessage="1" showErrorMessage="1" sqref="C66:C67 C55:C56 C69:C75 C42:C44 C39:C40 C48:C52 C58:C64 C4:C6 C29:C36" xr:uid="{00000000-0002-0000-0C00-000001000000}">
      <formula1>"Yes,No"</formula1>
    </dataValidation>
  </dataValidations>
  <pageMargins left="0.25" right="0.25" top="0.75000000000000011" bottom="0.75000000000000011" header="0.30000000000000004" footer="0.30000000000000004"/>
  <pageSetup paperSize="9" scale="94" fitToHeight="3" orientation="landscape" r:id="rId1"/>
  <headerFooter>
    <oddFooter>&amp;C&amp;A -&amp;P</oddFooter>
  </headerFooter>
  <rowBreaks count="2" manualBreakCount="2">
    <brk id="28" max="4" man="1"/>
    <brk id="53"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0070C0"/>
    <pageSetUpPr fitToPage="1"/>
  </sheetPr>
  <dimension ref="A1:K218"/>
  <sheetViews>
    <sheetView zoomScaleNormal="100" zoomScalePageLayoutView="80" workbookViewId="0">
      <selection activeCell="C4" sqref="C4"/>
    </sheetView>
  </sheetViews>
  <sheetFormatPr defaultColWidth="11" defaultRowHeight="15.6"/>
  <cols>
    <col min="1" max="1" width="4.69921875" style="6" customWidth="1"/>
    <col min="2" max="2" width="82.19921875" style="28" customWidth="1"/>
    <col min="3" max="3" width="5.19921875" style="22" customWidth="1"/>
    <col min="4" max="4" width="3.69921875" style="22" customWidth="1"/>
    <col min="5" max="5" width="3.69921875" style="22" hidden="1" customWidth="1"/>
    <col min="6" max="6" width="5.19921875" style="22" hidden="1" customWidth="1"/>
    <col min="7" max="7" width="5.19921875" style="22" customWidth="1"/>
    <col min="8" max="8" width="37.69921875" style="71" customWidth="1"/>
    <col min="9" max="9" width="9.69921875" style="22" customWidth="1"/>
    <col min="10" max="16384" width="11" style="22"/>
  </cols>
  <sheetData>
    <row r="1" spans="1:11">
      <c r="A1" s="10"/>
      <c r="B1" s="57" t="str">
        <f>Language!A1183</f>
        <v>9- PROCESSING</v>
      </c>
      <c r="C1" s="51" t="str">
        <f>IF(COUNT(G3:G349)=0,"???",AVERAGE(G3:G349))</f>
        <v>???</v>
      </c>
      <c r="F1" s="28"/>
      <c r="H1" s="192" t="str">
        <f>'Facility 1'!H1</f>
        <v>Comments</v>
      </c>
    </row>
    <row r="2" spans="1:11" s="492" customFormat="1" ht="16.2" thickBot="1">
      <c r="A2" s="10"/>
      <c r="B2" s="202" t="str">
        <f>Language!A1184</f>
        <v>Please note: all questions refer only to clinical patient specimens, NOT to research or environmental specimens</v>
      </c>
      <c r="H2" s="254"/>
    </row>
    <row r="3" spans="1:11" ht="16.2" thickBot="1">
      <c r="A3" s="160"/>
      <c r="B3" s="75" t="str">
        <f>Language!A1185</f>
        <v>BLOOD CULTURE PROCESSING</v>
      </c>
      <c r="C3" s="72" t="str">
        <f>IF(C4="No","NA",IF(COUNTBLANK(C5:C12)=8,"???",IF(COUNT(G5:G12)=0,"NA",AVERAGE(G5:G12))))</f>
        <v>???</v>
      </c>
      <c r="D3" s="29"/>
      <c r="E3" s="29"/>
      <c r="F3" s="29"/>
      <c r="G3" s="18"/>
      <c r="H3" s="427"/>
    </row>
    <row r="4" spans="1:11">
      <c r="A4" s="10"/>
      <c r="B4" s="71" t="str">
        <f>Language!A1186</f>
        <v>Does the laboratory perform blood cultures?</v>
      </c>
      <c r="C4" s="27"/>
      <c r="F4" s="15">
        <f t="shared" ref="F4:F10" si="0">C4</f>
        <v>0</v>
      </c>
      <c r="H4" s="430"/>
    </row>
    <row r="5" spans="1:11" ht="27.6" customHeight="1">
      <c r="A5" s="10" t="s">
        <v>6109</v>
      </c>
      <c r="B5" s="8" t="str">
        <f>Language!A1187</f>
        <v>Does the laboratory have an SOP describing how to process blood for bacterial culture?</v>
      </c>
      <c r="C5" s="27"/>
      <c r="F5" s="29">
        <f t="shared" si="0"/>
        <v>0</v>
      </c>
      <c r="G5" s="18" t="str">
        <f>IF(F5="Yes",1,IF(F5="No",0,"'"))</f>
        <v>'</v>
      </c>
      <c r="H5" s="430"/>
    </row>
    <row r="6" spans="1:11" ht="27.6" customHeight="1">
      <c r="A6" s="10" t="s">
        <v>6110</v>
      </c>
      <c r="B6" s="8" t="str">
        <f>Language!A1188</f>
        <v>When a blood culture bottle shows signs of positivity, (turbidity, hemolysis, or gas production), does the lab perform a Gram stain of the bottle broth?</v>
      </c>
      <c r="C6" s="27"/>
      <c r="F6" s="29">
        <f t="shared" si="0"/>
        <v>0</v>
      </c>
      <c r="G6" s="18" t="str">
        <f t="shared" ref="G6:G10" si="1">IF(F6="Yes",1,IF(F6="No",0,"'"))</f>
        <v>'</v>
      </c>
      <c r="H6" s="430"/>
    </row>
    <row r="7" spans="1:11" ht="27.6" customHeight="1">
      <c r="A7" s="10" t="s">
        <v>6111</v>
      </c>
      <c r="B7" s="8" t="str">
        <f>Language!A1189</f>
        <v>If the Gram stain from the bottle is positive, does the lab call the result to the physician immediately?</v>
      </c>
      <c r="C7" s="27"/>
      <c r="F7" s="29">
        <f t="shared" si="0"/>
        <v>0</v>
      </c>
      <c r="G7" s="18" t="str">
        <f t="shared" si="1"/>
        <v>'</v>
      </c>
      <c r="H7" s="430"/>
      <c r="I7" s="18" t="str">
        <f>IF(C7="No","Red Flag","'")</f>
        <v>'</v>
      </c>
    </row>
    <row r="8" spans="1:11" ht="27.6" customHeight="1">
      <c r="A8" s="10" t="s">
        <v>6112</v>
      </c>
      <c r="B8" s="8" t="str">
        <f>Language!A1190</f>
        <v xml:space="preserve">When a positive blood culture broth is subcultured, is a chocolate plate included to ensure recovery of fastidious organisms? </v>
      </c>
      <c r="C8" s="27"/>
      <c r="F8" s="29">
        <f t="shared" si="0"/>
        <v>0</v>
      </c>
      <c r="G8" s="18" t="str">
        <f t="shared" si="1"/>
        <v>'</v>
      </c>
      <c r="H8" s="430"/>
      <c r="I8" s="18" t="str">
        <f>IF(C8="No","Red Flag","'")</f>
        <v>'</v>
      </c>
    </row>
    <row r="9" spans="1:11">
      <c r="A9" s="10" t="s">
        <v>6113</v>
      </c>
      <c r="B9" s="8" t="str">
        <f>Language!A1191</f>
        <v>Does the lab inoculate more than one patient sample on the same petri dish?</v>
      </c>
      <c r="C9" s="27"/>
      <c r="F9" s="29">
        <f t="shared" si="0"/>
        <v>0</v>
      </c>
      <c r="G9" s="18" t="str">
        <f>IF(F9="No",1,IF(F9="Yes",0,"'"))</f>
        <v>'</v>
      </c>
      <c r="H9" s="430"/>
      <c r="I9" s="18" t="str">
        <f>IF(C9="Yes","Red Flag","'")</f>
        <v>'</v>
      </c>
    </row>
    <row r="10" spans="1:11" ht="27.6" customHeight="1">
      <c r="A10" s="10" t="s">
        <v>6114</v>
      </c>
      <c r="B10" s="8" t="str">
        <f>Language!A1192</f>
        <v xml:space="preserve">Does the SOP for blood cultures appropriately define which organisms are commonly considered contaminants? </v>
      </c>
      <c r="C10" s="27"/>
      <c r="F10" s="29">
        <f t="shared" si="0"/>
        <v>0</v>
      </c>
      <c r="G10" s="18" t="str">
        <f t="shared" si="1"/>
        <v>'</v>
      </c>
      <c r="H10" s="430"/>
    </row>
    <row r="11" spans="1:11">
      <c r="A11" s="10"/>
      <c r="B11" s="630" t="str">
        <f>Language!A1193</f>
        <v>E.g.,  Corynebacterium spp., Propionibacterium spp., Micrococcus spp., viridans Strep spp., Bacillus spp., and coagulase-negative Staph spp. isolated from only one culture</v>
      </c>
      <c r="C11" s="632"/>
      <c r="D11" s="632"/>
      <c r="E11" s="632"/>
      <c r="F11" s="632"/>
      <c r="G11" s="632"/>
      <c r="H11" s="632"/>
    </row>
    <row r="12" spans="1:11">
      <c r="A12" s="10" t="s">
        <v>6115</v>
      </c>
      <c r="B12" s="8" t="str">
        <f>Language!A1194</f>
        <v>Does the lab perform AST on organisms that are possible contaminants?</v>
      </c>
      <c r="C12" s="27"/>
      <c r="F12" s="29">
        <f>C12</f>
        <v>0</v>
      </c>
      <c r="G12" s="18" t="str">
        <f>IF(F12="No",1,IF(F12="Yes",0,"'"))</f>
        <v>'</v>
      </c>
      <c r="H12" s="131"/>
      <c r="I12" s="241" t="str">
        <f>IF(F12="Yes","Red Flag","'")</f>
        <v>'</v>
      </c>
    </row>
    <row r="13" spans="1:11">
      <c r="A13" s="10" t="s">
        <v>6116</v>
      </c>
      <c r="B13" s="8" t="str">
        <f>Language!A1195</f>
        <v>Which blood culture incubation systems does the lab use?</v>
      </c>
      <c r="C13" s="108"/>
      <c r="F13" s="90" t="str">
        <f>IF(C13=1,"Automated",IF(C13=2,"Manual",IF(C13=3,"Both",IF(C13="NA","NA","0"))))</f>
        <v>0</v>
      </c>
      <c r="H13" s="131"/>
      <c r="I13" s="194"/>
      <c r="J13" s="489"/>
    </row>
    <row r="14" spans="1:11">
      <c r="A14" s="10"/>
      <c r="B14" s="50" t="str">
        <f>Language!A1196</f>
        <v>1: Automated only; 2: Manual System only; 3: Both automated and manual systems</v>
      </c>
    </row>
    <row r="15" spans="1:11" ht="16.2" thickBot="1">
      <c r="A15" s="16"/>
      <c r="B15" s="444"/>
      <c r="C15" s="227"/>
      <c r="D15" s="487"/>
      <c r="E15" s="194"/>
      <c r="F15" s="194"/>
      <c r="G15" s="194"/>
      <c r="H15" s="444"/>
      <c r="J15" s="194"/>
      <c r="K15" s="194"/>
    </row>
    <row r="16" spans="1:11" ht="16.2" thickBot="1">
      <c r="A16" s="160"/>
      <c r="B16" s="75" t="str">
        <f>Language!A1197</f>
        <v>MANUAL BLOOD CULTURE SYSTEMS</v>
      </c>
      <c r="C16" s="72" t="str">
        <f>IF(COUNTBLANK(C18:C23)=6,"???",IF(COUNT(G18:G23)=0,"NA",AVERAGE(G18:G23)))</f>
        <v>???</v>
      </c>
      <c r="D16" s="29"/>
      <c r="E16" s="29"/>
      <c r="F16" s="29"/>
      <c r="G16" s="18"/>
      <c r="H16" s="427"/>
    </row>
    <row r="17" spans="1:10" ht="27.6" customHeight="1">
      <c r="A17" s="10"/>
      <c r="B17" s="8" t="str">
        <f>Language!A1198</f>
        <v>Review the SOP for manual incubation of blood culture bottles. Does it include each of the following instructions? (If only automated systems are used, answer NA)</v>
      </c>
      <c r="C17" s="70"/>
      <c r="H17" s="430"/>
    </row>
    <row r="18" spans="1:10" ht="27.6" customHeight="1">
      <c r="A18" s="10" t="s">
        <v>6117</v>
      </c>
      <c r="B18" s="37" t="str">
        <f>Language!A1199</f>
        <v>On each day of incubation, visually examine all bottles for signs of positivity (turbidity, hemolysis, gas production)</v>
      </c>
      <c r="C18" s="46"/>
      <c r="F18" s="29">
        <f t="shared" ref="F18:F23" si="2">C18</f>
        <v>0</v>
      </c>
      <c r="G18" s="18" t="str">
        <f>IF(F18="Yes",1,IF(F18="No",0,"'"))</f>
        <v>'</v>
      </c>
      <c r="H18" s="430"/>
    </row>
    <row r="19" spans="1:10">
      <c r="A19" s="10" t="s">
        <v>6118</v>
      </c>
      <c r="B19" s="37" t="str">
        <f>Language!A1200</f>
        <v xml:space="preserve">After 24 hours of incubation, subculture all bottles that appear negative  </v>
      </c>
      <c r="C19" s="46"/>
      <c r="F19" s="29">
        <f t="shared" si="2"/>
        <v>0</v>
      </c>
      <c r="G19" s="18" t="str">
        <f t="shared" ref="G19:G23" si="3">IF(F19="Yes",1,IF(F19="No",0,"'"))</f>
        <v>'</v>
      </c>
      <c r="H19" s="430"/>
    </row>
    <row r="20" spans="1:10" ht="27.6" customHeight="1">
      <c r="A20" s="10" t="s">
        <v>6119</v>
      </c>
      <c r="B20" s="37" t="str">
        <f>Language!A1201</f>
        <v>After 48 hours of incubation, subculture all bottles that appear negative again (if the first subculture was negative)</v>
      </c>
      <c r="C20" s="46"/>
      <c r="F20" s="29">
        <f t="shared" si="2"/>
        <v>0</v>
      </c>
      <c r="G20" s="18" t="str">
        <f t="shared" si="3"/>
        <v>'</v>
      </c>
      <c r="H20" s="430"/>
    </row>
    <row r="21" spans="1:10" ht="27.6" customHeight="1">
      <c r="A21" s="10" t="s">
        <v>6120</v>
      </c>
      <c r="B21" s="37" t="str">
        <f>Language!A1202</f>
        <v>Subculture bottles that appear negative to a chocolate agar plate (incubated in 5% CO2) to ensure recovery of fastidious organisms</v>
      </c>
      <c r="C21" s="46"/>
      <c r="F21" s="29">
        <f t="shared" si="2"/>
        <v>0</v>
      </c>
      <c r="G21" s="18" t="str">
        <f t="shared" si="3"/>
        <v>'</v>
      </c>
      <c r="H21" s="430"/>
    </row>
    <row r="22" spans="1:10">
      <c r="A22" s="10" t="s">
        <v>6121</v>
      </c>
      <c r="B22" s="37" t="str">
        <f>Language!A1203</f>
        <v>Incubate all bottles between 5 and 7 days before issuing a final negative report</v>
      </c>
      <c r="C22" s="46"/>
      <c r="F22" s="29">
        <f t="shared" si="2"/>
        <v>0</v>
      </c>
      <c r="G22" s="18" t="str">
        <f t="shared" si="3"/>
        <v>'</v>
      </c>
      <c r="H22" s="430"/>
    </row>
    <row r="23" spans="1:10" ht="27.6" customHeight="1" thickBot="1">
      <c r="A23" s="10" t="s">
        <v>6122</v>
      </c>
      <c r="B23" s="37" t="str">
        <f>Language!A1204</f>
        <v>On the final day of incubation, perform a terminal subculture before the final negative report is issued</v>
      </c>
      <c r="C23" s="27"/>
      <c r="F23" s="29">
        <f t="shared" si="2"/>
        <v>0</v>
      </c>
      <c r="G23" s="18" t="str">
        <f t="shared" si="3"/>
        <v>'</v>
      </c>
      <c r="H23" s="430"/>
    </row>
    <row r="24" spans="1:10" ht="16.2" thickBot="1">
      <c r="A24" s="160"/>
      <c r="B24" s="111" t="str">
        <f>Language!A1205</f>
        <v>URINE CULTURE</v>
      </c>
      <c r="C24" s="85" t="str">
        <f>IF(C25="No","NA",IF(COUNTBLANK(C26:C39)=14,"???",IF(COUNT(G26:G39)=0,"NA",AVERAGE(G26:G39))))</f>
        <v>???</v>
      </c>
      <c r="H24" s="427"/>
    </row>
    <row r="25" spans="1:10">
      <c r="A25" s="10"/>
      <c r="B25" s="127" t="str">
        <f>Language!A1206</f>
        <v>Does the laboratory perform urine cultures?</v>
      </c>
      <c r="C25" s="27"/>
      <c r="F25" s="67">
        <f>C25</f>
        <v>0</v>
      </c>
    </row>
    <row r="26" spans="1:10">
      <c r="A26" s="10">
        <v>9.15</v>
      </c>
      <c r="B26" s="8" t="str">
        <f>Language!A1207</f>
        <v>Does the laboratory have an SOP for how to process urine for bacterial culture? (request to see)</v>
      </c>
      <c r="C26" s="27"/>
      <c r="F26" s="29">
        <f>C26</f>
        <v>0</v>
      </c>
      <c r="G26" s="18" t="str">
        <f>IF(F26="Yes",1,IF(F26="No",0,"'"))</f>
        <v>'</v>
      </c>
      <c r="H26" s="131"/>
    </row>
    <row r="27" spans="1:10">
      <c r="A27" s="10">
        <v>9.16</v>
      </c>
      <c r="B27" s="20" t="str">
        <f>Language!A1208</f>
        <v>According to the SOP, which media are used for primary culture of urine?</v>
      </c>
      <c r="C27" s="27"/>
      <c r="F27" s="29">
        <f>C27</f>
        <v>0</v>
      </c>
      <c r="G27" s="18" t="str">
        <f>IF(F27=1,1,IF(F27=2,1,IF(F27=3,0.5,IF(F27=4,0,"'"))))</f>
        <v>'</v>
      </c>
      <c r="H27" s="131"/>
    </row>
    <row r="28" spans="1:10">
      <c r="A28" s="10"/>
      <c r="B28" s="439" t="str">
        <f>Language!A1209</f>
        <v>1. Both blood agar and a selective gram-negative agar (e.g., MacConkey, EMB, CLED)</v>
      </c>
      <c r="F28" s="29"/>
      <c r="G28" s="18"/>
      <c r="H28" s="169"/>
      <c r="I28" s="498"/>
      <c r="J28" s="508"/>
    </row>
    <row r="29" spans="1:10">
      <c r="A29" s="10"/>
      <c r="B29" s="439" t="str">
        <f>Language!A1210</f>
        <v>2. Chromogenic agar designed for urine specimens</v>
      </c>
      <c r="F29" s="29"/>
      <c r="G29" s="18"/>
      <c r="H29" s="169"/>
      <c r="I29" s="504"/>
    </row>
    <row r="30" spans="1:10">
      <c r="A30" s="10"/>
      <c r="B30" s="439" t="str">
        <f>Language!A1211</f>
        <v>3. Blood agar only</v>
      </c>
      <c r="F30" s="29"/>
      <c r="G30" s="18"/>
      <c r="H30" s="169"/>
      <c r="I30" s="504"/>
    </row>
    <row r="31" spans="1:10">
      <c r="A31" s="10"/>
      <c r="B31" s="439" t="str">
        <f>Language!A1212</f>
        <v>4. Other, describe</v>
      </c>
      <c r="F31" s="29"/>
      <c r="G31" s="18"/>
      <c r="H31" s="169"/>
      <c r="I31" s="486"/>
    </row>
    <row r="32" spans="1:10">
      <c r="A32" s="10"/>
      <c r="B32" s="633" t="str">
        <f>Language!A1213</f>
        <v>Standard: CAP MIC.22210; SANAS TR 34-04:3.2.1.2 Media and procedures must be used to ensure isolation and identification of common uropathogens such as Enterobacteriaceae, Enterococcus sp., and Staphylococcus sp.</v>
      </c>
      <c r="C32" s="634"/>
      <c r="D32" s="634"/>
      <c r="E32" s="634"/>
      <c r="F32" s="634"/>
      <c r="G32" s="634"/>
      <c r="H32" s="634"/>
      <c r="I32" s="486"/>
    </row>
    <row r="33" spans="1:9">
      <c r="A33" s="10">
        <v>9.17</v>
      </c>
      <c r="B33" s="8" t="str">
        <f>Language!A1214</f>
        <v xml:space="preserve">Are quantitative cultures (colony counts) performed? </v>
      </c>
      <c r="C33" s="27"/>
      <c r="F33" s="29">
        <f>C33</f>
        <v>0</v>
      </c>
      <c r="G33" s="18" t="str">
        <f>IF(F33="Yes",1,IF(F33="No",0,"'"))</f>
        <v>'</v>
      </c>
      <c r="H33" s="430"/>
    </row>
    <row r="34" spans="1:9">
      <c r="A34" s="10"/>
      <c r="B34" s="633" t="str">
        <f>Language!A1215</f>
        <v>Standard: CAP MIC.22200; SANAS TR 34-04: 3.2.1.2 The minimal standards for evaluation of urine cultures should include an estimate of number of organisms, i.e., quantitative culture expressed as CFU/mL.</v>
      </c>
      <c r="C34" s="634"/>
      <c r="D34" s="634"/>
      <c r="E34" s="634"/>
      <c r="F34" s="634"/>
      <c r="G34" s="634"/>
      <c r="H34" s="634"/>
    </row>
    <row r="35" spans="1:9">
      <c r="A35" s="10">
        <v>9.18</v>
      </c>
      <c r="B35" s="20" t="str">
        <f>Language!A1216</f>
        <v>Are urines plated using a calibrated loop?</v>
      </c>
      <c r="C35" s="27"/>
      <c r="F35" s="29">
        <f>C35</f>
        <v>0</v>
      </c>
      <c r="G35" s="18" t="str">
        <f>IF(F35=1,1,IF(F35=2,0.5,IF(F35=3,0,"'")))</f>
        <v>'</v>
      </c>
      <c r="H35" s="430"/>
    </row>
    <row r="36" spans="1:9">
      <c r="A36" s="10"/>
      <c r="B36" s="439" t="str">
        <f>Language!A1217</f>
        <v>1: Yes, 1µL  – 2: Yes, 10uL - 3: No, calibrated loops are not used to plate urines</v>
      </c>
    </row>
    <row r="37" spans="1:9">
      <c r="A37" s="76" t="s">
        <v>6123</v>
      </c>
      <c r="B37" s="8" t="str">
        <f>Language!A1218</f>
        <v>Does the lab inoculate more than one patient sample on the same petri dish?</v>
      </c>
      <c r="C37" s="27"/>
      <c r="F37" s="29">
        <f>C37</f>
        <v>0</v>
      </c>
      <c r="G37" s="18" t="str">
        <f>IF(F37="No",1,IF(F37="Yes",1,"'"))</f>
        <v>'</v>
      </c>
      <c r="H37" s="430"/>
      <c r="I37" s="18" t="str">
        <f>IF(C37="Yes","Red Flag","'")</f>
        <v>'</v>
      </c>
    </row>
    <row r="38" spans="1:9" ht="41.55" customHeight="1">
      <c r="A38" s="76" t="s">
        <v>6124</v>
      </c>
      <c r="B38" s="8" t="str">
        <f>Language!A1219</f>
        <v xml:space="preserve">Does the urine culture SOP provide guidance to the technologist in determining which organisms to “work up” (ID and AST) based on relative quantities, pathogenicity, and method of specimen collection? </v>
      </c>
      <c r="C38" s="27"/>
      <c r="F38" s="29">
        <f>C38</f>
        <v>0</v>
      </c>
      <c r="G38" s="18" t="str">
        <f>IF(F38="Yes",1,IF(F38="No",0,"'"))</f>
        <v>'</v>
      </c>
      <c r="H38" s="430"/>
    </row>
    <row r="39" spans="1:9" ht="41.55" customHeight="1">
      <c r="A39" s="76" t="s">
        <v>6125</v>
      </c>
      <c r="B39" s="20" t="str">
        <f>Language!A1220</f>
        <v xml:space="preserve">Have technologists been adequately trained to recognize a poorly collected urine specimen (predominance of fecal or skin flora) based on the relative quantities, types, and mix of organisms present? </v>
      </c>
      <c r="C39" s="46"/>
      <c r="F39" s="90" t="str">
        <f>IF(C39=1,"Yes",IF(C39=2,"Some",IF(C39=3,"No","'")))</f>
        <v>'</v>
      </c>
      <c r="G39" s="18" t="str">
        <f>IF(F39="Yes",1,IF(F39="Some",0.75,IF(F39="No",0,"'")))</f>
        <v>'</v>
      </c>
      <c r="H39" s="430"/>
      <c r="I39" s="91" t="str">
        <f>IF(F39="No","Training Opportunity",IF(F39="Some","Training Opportunity","'"))</f>
        <v>'</v>
      </c>
    </row>
    <row r="40" spans="1:9" ht="16.2" thickBot="1">
      <c r="A40" s="10"/>
      <c r="B40" s="439" t="str">
        <f>Language!A1221</f>
        <v>1: Yes - 2: Some, but would like additional training - 3: No</v>
      </c>
    </row>
    <row r="41" spans="1:9" ht="16.2" thickBot="1">
      <c r="A41" s="160"/>
      <c r="B41" s="14" t="str">
        <f>Language!A1222</f>
        <v>STOOL CULTURES for Salmonella and Shigella</v>
      </c>
      <c r="C41" s="44" t="str">
        <f>IF(C42="No","NA",IF(COUNTBLANK(C43:C55)=13,"???",IF(COUNT(G43:G55)=0,"NA",AVERAGE(G43:G55))))</f>
        <v>???</v>
      </c>
      <c r="H41" s="427"/>
    </row>
    <row r="42" spans="1:9">
      <c r="A42" s="10"/>
      <c r="B42" s="127" t="str">
        <f>Language!A1223</f>
        <v>Does the laboratory perform stool cultures?</v>
      </c>
      <c r="C42" s="27"/>
      <c r="F42" s="15">
        <f>C42</f>
        <v>0</v>
      </c>
    </row>
    <row r="43" spans="1:9" ht="27.6" customHeight="1">
      <c r="A43" s="10">
        <v>9.2200000000000006</v>
      </c>
      <c r="B43" s="8" t="str">
        <f>Language!A1224</f>
        <v>Does the laboratory have an SOP for how to process (plate) stool for bacterial culture? (request to see)</v>
      </c>
      <c r="C43" s="27"/>
      <c r="F43" s="29">
        <f>C43</f>
        <v>0</v>
      </c>
      <c r="G43" s="18" t="str">
        <f>IF(F43="Yes",1,IF(F43="No",0,"'"))</f>
        <v>'</v>
      </c>
      <c r="H43" s="430"/>
    </row>
    <row r="44" spans="1:9">
      <c r="A44" s="10">
        <v>9.23</v>
      </c>
      <c r="B44" s="8" t="str">
        <f>Language!A1225</f>
        <v>Does the SOP describe how to identify potential pathogens on all primary media?</v>
      </c>
      <c r="C44" s="27"/>
      <c r="F44" s="29">
        <f>C44</f>
        <v>0</v>
      </c>
      <c r="G44" s="18" t="str">
        <f>IF(F44="Yes",1,IF(F44="No",0,"'"))</f>
        <v>'</v>
      </c>
      <c r="H44" s="430"/>
    </row>
    <row r="45" spans="1:9" ht="24" customHeight="1">
      <c r="A45" s="10"/>
      <c r="B45" s="553" t="str">
        <f>Language!A1226</f>
        <v>The SOP should describe the colony appearance of potential pathogens on MAC other selective &amp; differential media used, and should define how to proceed when a potential pathogen is encountered</v>
      </c>
      <c r="F45" s="29"/>
      <c r="G45" s="18"/>
      <c r="H45" s="169"/>
    </row>
    <row r="46" spans="1:9">
      <c r="A46" s="10"/>
      <c r="B46" s="8" t="str">
        <f>Language!A1227</f>
        <v>Which media are used for primary culture of stool?</v>
      </c>
    </row>
    <row r="47" spans="1:9">
      <c r="A47" s="10">
        <v>9.24</v>
      </c>
      <c r="B47" s="37" t="str">
        <f>Language!A1228</f>
        <v>Blood agar</v>
      </c>
      <c r="C47" s="432"/>
      <c r="F47" s="29">
        <f t="shared" ref="F47:F52" si="4">C47</f>
        <v>0</v>
      </c>
      <c r="G47" s="18" t="str">
        <f>IF(F47="Yes",1,IF(F47="No",0,"'"))</f>
        <v>'</v>
      </c>
      <c r="H47" s="430"/>
    </row>
    <row r="48" spans="1:9">
      <c r="A48" s="10">
        <v>9.25</v>
      </c>
      <c r="B48" s="37" t="str">
        <f>Language!A1229</f>
        <v>MacConkey or Eosin Methylene Blue agar</v>
      </c>
      <c r="C48" s="432"/>
      <c r="F48" s="29">
        <f t="shared" si="4"/>
        <v>0</v>
      </c>
      <c r="G48" s="18" t="str">
        <f t="shared" ref="G48:G50" si="5">IF(F48="Yes",1,IF(F48="No",0,"'"))</f>
        <v>'</v>
      </c>
      <c r="H48" s="430"/>
    </row>
    <row r="49" spans="1:9" ht="27.6" customHeight="1">
      <c r="A49" s="10">
        <v>9.26</v>
      </c>
      <c r="B49" s="37" t="str">
        <f>Language!A1230</f>
        <v>Selective and differential screening agar for Salmonella and Shigella (e.g., Salmonella/Shigella agar, Hektoen Enteric agar, Xylose Lysine Deoxycholate agar, or Deoxycholate Citrate Agar)</v>
      </c>
      <c r="C49" s="432"/>
      <c r="F49" s="29">
        <f t="shared" si="4"/>
        <v>0</v>
      </c>
      <c r="G49" s="18" t="str">
        <f t="shared" si="5"/>
        <v>'</v>
      </c>
      <c r="H49" s="430"/>
    </row>
    <row r="50" spans="1:9">
      <c r="A50" s="10">
        <v>9.27</v>
      </c>
      <c r="B50" s="37" t="str">
        <f>Language!A1231</f>
        <v>Selective enrichment broth (e.g., Selenite, GN, etc.)</v>
      </c>
      <c r="C50" s="432"/>
      <c r="F50" s="29">
        <f t="shared" si="4"/>
        <v>0</v>
      </c>
      <c r="G50" s="18" t="str">
        <f t="shared" si="5"/>
        <v>'</v>
      </c>
      <c r="H50" s="430"/>
    </row>
    <row r="51" spans="1:9">
      <c r="A51" s="10">
        <v>9.2799999999999994</v>
      </c>
      <c r="B51" s="37" t="str">
        <f>Language!A1232</f>
        <v>Other (describe in comments, not scored)</v>
      </c>
      <c r="C51" s="432"/>
      <c r="F51" s="67">
        <f t="shared" si="4"/>
        <v>0</v>
      </c>
      <c r="H51" s="430"/>
    </row>
    <row r="52" spans="1:9">
      <c r="A52" s="10">
        <v>9.2899999999999991</v>
      </c>
      <c r="B52" s="8" t="str">
        <f>Language!A1233</f>
        <v>Does the lab inoculate more than one patient sample on the same petri dish?</v>
      </c>
      <c r="C52" s="27"/>
      <c r="F52" s="29">
        <f t="shared" si="4"/>
        <v>0</v>
      </c>
      <c r="G52" s="18" t="str">
        <f>IF(F52="No",1,IF(F52="Yes",0,"'"))</f>
        <v>'</v>
      </c>
      <c r="H52" s="430"/>
      <c r="I52" s="241" t="str">
        <f>IF(F52="Yes","Red Flag","'")</f>
        <v>'</v>
      </c>
    </row>
    <row r="53" spans="1:9">
      <c r="A53" s="10"/>
      <c r="B53" s="8" t="str">
        <f>Language!A1234</f>
        <v xml:space="preserve">Are the following pathogens routinely targeted in every stool culture submitted? </v>
      </c>
    </row>
    <row r="54" spans="1:9">
      <c r="A54" s="191">
        <v>9.3000000000000007</v>
      </c>
      <c r="B54" s="37" t="str">
        <f>Language!A1235</f>
        <v>Salmonella spp.</v>
      </c>
      <c r="C54" s="27"/>
      <c r="F54" s="29">
        <f>C54</f>
        <v>0</v>
      </c>
      <c r="G54" s="18" t="str">
        <f>IF(F54="Yes",1,IF(F54="No",0,"'"))</f>
        <v>'</v>
      </c>
      <c r="H54" s="430"/>
    </row>
    <row r="55" spans="1:9">
      <c r="A55" s="10"/>
      <c r="B55" s="37" t="str">
        <f>Language!A1236</f>
        <v>Shigella spp.</v>
      </c>
      <c r="C55" s="27"/>
      <c r="F55" s="29">
        <f>C55</f>
        <v>0</v>
      </c>
      <c r="G55" s="18" t="str">
        <f>IF(F55="Yes",1,IF(F55="No",0,"'"))</f>
        <v>'</v>
      </c>
      <c r="H55" s="430"/>
    </row>
    <row r="56" spans="1:9">
      <c r="A56" s="10"/>
      <c r="B56" s="37" t="str">
        <f>Language!A1237</f>
        <v>Other (describe in comments, not scored)</v>
      </c>
      <c r="C56" s="46"/>
      <c r="F56" s="29">
        <f>C56</f>
        <v>0</v>
      </c>
      <c r="G56" s="18"/>
      <c r="H56" s="430"/>
    </row>
    <row r="57" spans="1:9">
      <c r="B57" s="8"/>
    </row>
    <row r="58" spans="1:9">
      <c r="B58" s="8"/>
    </row>
    <row r="59" spans="1:9">
      <c r="B59" s="8"/>
    </row>
    <row r="60" spans="1:9">
      <c r="B60" s="8"/>
    </row>
    <row r="61" spans="1:9">
      <c r="B61" s="8"/>
    </row>
    <row r="62" spans="1:9">
      <c r="B62" s="8"/>
    </row>
    <row r="63" spans="1:9">
      <c r="B63" s="8"/>
    </row>
    <row r="64" spans="1:9">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sheetData>
  <sheetProtection algorithmName="SHA-256" hashValue="FHiqtpQC7I1Cd7yk07SwHnc0DWxp3lZG+HUC0219Fq4=" saltValue="NYOnc715I73w70PWSAPbXQ==" spinCount="100000" sheet="1" selectLockedCells="1"/>
  <mergeCells count="3">
    <mergeCell ref="B11:H11"/>
    <mergeCell ref="B32:H32"/>
    <mergeCell ref="B34:H34"/>
  </mergeCells>
  <phoneticPr fontId="45" type="noConversion"/>
  <conditionalFormatting sqref="C3">
    <cfRule type="cellIs" dxfId="865" priority="222" stopIfTrue="1" operator="lessThan">
      <formula>0.5</formula>
    </cfRule>
    <cfRule type="cellIs" dxfId="864" priority="221" stopIfTrue="1" operator="between">
      <formula>0.5</formula>
      <formula>0.799</formula>
    </cfRule>
    <cfRule type="cellIs" dxfId="863" priority="220" stopIfTrue="1" operator="greaterThanOrEqual">
      <formula>0.8</formula>
    </cfRule>
  </conditionalFormatting>
  <conditionalFormatting sqref="C16">
    <cfRule type="cellIs" dxfId="862" priority="161" stopIfTrue="1" operator="lessThan">
      <formula>0.5</formula>
    </cfRule>
    <cfRule type="cellIs" dxfId="861" priority="160" stopIfTrue="1" operator="between">
      <formula>0.5</formula>
      <formula>0.799</formula>
    </cfRule>
    <cfRule type="cellIs" dxfId="860" priority="159" stopIfTrue="1" operator="greaterThanOrEqual">
      <formula>0.8</formula>
    </cfRule>
  </conditionalFormatting>
  <conditionalFormatting sqref="C24">
    <cfRule type="cellIs" dxfId="859" priority="548" stopIfTrue="1" operator="lessThan">
      <formula>0.5</formula>
    </cfRule>
    <cfRule type="cellIs" dxfId="858" priority="547" stopIfTrue="1" operator="between">
      <formula>0.5</formula>
      <formula>0.799</formula>
    </cfRule>
    <cfRule type="cellIs" dxfId="857" priority="546" stopIfTrue="1" operator="greaterThanOrEqual">
      <formula>0.8</formula>
    </cfRule>
  </conditionalFormatting>
  <conditionalFormatting sqref="C28:C31">
    <cfRule type="containsText" dxfId="856" priority="427" stopIfTrue="1" operator="containsText" text="RED FLAG">
      <formula>NOT(ISERROR(SEARCH("RED FLAG",C28)))</formula>
    </cfRule>
  </conditionalFormatting>
  <conditionalFormatting sqref="C41">
    <cfRule type="cellIs" dxfId="855" priority="511" stopIfTrue="1" operator="between">
      <formula>0.5</formula>
      <formula>0.799</formula>
    </cfRule>
    <cfRule type="cellIs" dxfId="854" priority="512" stopIfTrue="1" operator="lessThan">
      <formula>0.5</formula>
    </cfRule>
    <cfRule type="cellIs" dxfId="853" priority="510" stopIfTrue="1" operator="greaterThanOrEqual">
      <formula>0.8</formula>
    </cfRule>
  </conditionalFormatting>
  <conditionalFormatting sqref="G3">
    <cfRule type="cellIs" dxfId="852" priority="590" stopIfTrue="1" operator="greaterThan">
      <formula>0.75</formula>
    </cfRule>
    <cfRule type="cellIs" dxfId="851" priority="589" stopIfTrue="1" operator="between">
      <formula>0.5</formula>
      <formula>0.75</formula>
    </cfRule>
    <cfRule type="cellIs" dxfId="850" priority="588" stopIfTrue="1" operator="lessThan">
      <formula>0.5</formula>
    </cfRule>
  </conditionalFormatting>
  <conditionalFormatting sqref="G5:G8">
    <cfRule type="cellIs" dxfId="849" priority="488" stopIfTrue="1" operator="greaterThan">
      <formula>0.75</formula>
    </cfRule>
    <cfRule type="cellIs" dxfId="848" priority="487" stopIfTrue="1" operator="between">
      <formula>0.5</formula>
      <formula>0.75</formula>
    </cfRule>
    <cfRule type="cellIs" dxfId="847" priority="486" stopIfTrue="1" operator="lessThan">
      <formula>0.5</formula>
    </cfRule>
  </conditionalFormatting>
  <conditionalFormatting sqref="G5:G10 G12 G1:G3 C14:G14 F40">
    <cfRule type="containsText" dxfId="846" priority="452" stopIfTrue="1" operator="containsText" text="RED FLAG">
      <formula>NOT(ISERROR(SEARCH("RED FLAG",C1)))</formula>
    </cfRule>
  </conditionalFormatting>
  <conditionalFormatting sqref="G6:G10">
    <cfRule type="cellIs" dxfId="845" priority="467" stopIfTrue="1" operator="greaterThan">
      <formula>0.75</formula>
    </cfRule>
    <cfRule type="cellIs" dxfId="844" priority="466" stopIfTrue="1" operator="between">
      <formula>0.5</formula>
      <formula>0.75</formula>
    </cfRule>
    <cfRule type="cellIs" dxfId="843" priority="465" stopIfTrue="1" operator="lessThan">
      <formula>0.5</formula>
    </cfRule>
  </conditionalFormatting>
  <conditionalFormatting sqref="G10">
    <cfRule type="cellIs" dxfId="842" priority="33" stopIfTrue="1" operator="between">
      <formula>0.5</formula>
      <formula>0.75</formula>
    </cfRule>
    <cfRule type="cellIs" dxfId="841" priority="34" stopIfTrue="1" operator="greaterThan">
      <formula>0.75</formula>
    </cfRule>
    <cfRule type="cellIs" dxfId="840" priority="29" stopIfTrue="1" operator="lessThan">
      <formula>0.5</formula>
    </cfRule>
    <cfRule type="cellIs" dxfId="839" priority="30" stopIfTrue="1" operator="between">
      <formula>0.5</formula>
      <formula>0.75</formula>
    </cfRule>
    <cfRule type="cellIs" dxfId="838" priority="31" stopIfTrue="1" operator="greaterThan">
      <formula>0.75</formula>
    </cfRule>
    <cfRule type="cellIs" dxfId="837" priority="32" stopIfTrue="1" operator="lessThan">
      <formula>0.5</formula>
    </cfRule>
  </conditionalFormatting>
  <conditionalFormatting sqref="G12">
    <cfRule type="cellIs" dxfId="836" priority="26" stopIfTrue="1" operator="lessThan">
      <formula>0.5</formula>
    </cfRule>
    <cfRule type="cellIs" dxfId="835" priority="464" stopIfTrue="1" operator="greaterThan">
      <formula>0.75</formula>
    </cfRule>
    <cfRule type="cellIs" dxfId="834" priority="27" stopIfTrue="1" operator="between">
      <formula>0.5</formula>
      <formula>0.75</formula>
    </cfRule>
    <cfRule type="cellIs" dxfId="833" priority="28" stopIfTrue="1" operator="greaterThan">
      <formula>0.75</formula>
    </cfRule>
    <cfRule type="cellIs" dxfId="832" priority="463" stopIfTrue="1" operator="between">
      <formula>0.5</formula>
      <formula>0.75</formula>
    </cfRule>
    <cfRule type="cellIs" dxfId="831" priority="462" stopIfTrue="1" operator="lessThan">
      <formula>0.5</formula>
    </cfRule>
  </conditionalFormatting>
  <conditionalFormatting sqref="G16">
    <cfRule type="cellIs" dxfId="830" priority="163" stopIfTrue="1" operator="lessThan">
      <formula>0.5</formula>
    </cfRule>
    <cfRule type="cellIs" dxfId="829" priority="164" stopIfTrue="1" operator="between">
      <formula>0.5</formula>
      <formula>0.75</formula>
    </cfRule>
    <cfRule type="cellIs" dxfId="828" priority="165" stopIfTrue="1" operator="greaterThan">
      <formula>0.75</formula>
    </cfRule>
  </conditionalFormatting>
  <conditionalFormatting sqref="G16:G31">
    <cfRule type="containsText" dxfId="827" priority="18" stopIfTrue="1" operator="containsText" text="RED FLAG">
      <formula>NOT(ISERROR(SEARCH("RED FLAG",G16)))</formula>
    </cfRule>
  </conditionalFormatting>
  <conditionalFormatting sqref="G18:G23">
    <cfRule type="cellIs" dxfId="826" priority="23" stopIfTrue="1" operator="lessThan">
      <formula>0.5</formula>
    </cfRule>
    <cfRule type="cellIs" dxfId="825" priority="24" stopIfTrue="1" operator="between">
      <formula>0.5</formula>
      <formula>0.75</formula>
    </cfRule>
    <cfRule type="cellIs" dxfId="824" priority="25" stopIfTrue="1" operator="greaterThan">
      <formula>0.75</formula>
    </cfRule>
  </conditionalFormatting>
  <conditionalFormatting sqref="G26:G31">
    <cfRule type="cellIs" dxfId="823" priority="21" stopIfTrue="1" operator="greaterThan">
      <formula>0.75</formula>
    </cfRule>
    <cfRule type="cellIs" dxfId="822" priority="19" stopIfTrue="1" operator="lessThan">
      <formula>0.5</formula>
    </cfRule>
    <cfRule type="cellIs" dxfId="821" priority="20" stopIfTrue="1" operator="between">
      <formula>0.5</formula>
      <formula>0.75</formula>
    </cfRule>
  </conditionalFormatting>
  <conditionalFormatting sqref="G33">
    <cfRule type="cellIs" dxfId="820" priority="16" stopIfTrue="1" operator="between">
      <formula>0.5</formula>
      <formula>0.75</formula>
    </cfRule>
    <cfRule type="cellIs" dxfId="819" priority="17" stopIfTrue="1" operator="greaterThan">
      <formula>0.75</formula>
    </cfRule>
    <cfRule type="cellIs" dxfId="818" priority="15" stopIfTrue="1" operator="lessThan">
      <formula>0.5</formula>
    </cfRule>
    <cfRule type="containsText" dxfId="817" priority="14" stopIfTrue="1" operator="containsText" text="RED FLAG">
      <formula>NOT(ISERROR(SEARCH("RED FLAG",G33)))</formula>
    </cfRule>
  </conditionalFormatting>
  <conditionalFormatting sqref="G35">
    <cfRule type="cellIs" dxfId="816" priority="533" stopIfTrue="1" operator="greaterThan">
      <formula>0.75</formula>
    </cfRule>
    <cfRule type="cellIs" dxfId="815" priority="532" stopIfTrue="1" operator="between">
      <formula>0.5</formula>
      <formula>0.75</formula>
    </cfRule>
    <cfRule type="cellIs" dxfId="814" priority="531" stopIfTrue="1" operator="lessThan">
      <formula>0.5</formula>
    </cfRule>
  </conditionalFormatting>
  <conditionalFormatting sqref="G35:G46">
    <cfRule type="containsText" dxfId="813" priority="10" stopIfTrue="1" operator="containsText" text="RED FLAG">
      <formula>NOT(ISERROR(SEARCH("RED FLAG",G35)))</formula>
    </cfRule>
  </conditionalFormatting>
  <conditionalFormatting sqref="G37:G39">
    <cfRule type="cellIs" dxfId="812" priority="12" stopIfTrue="1" operator="between">
      <formula>0.5</formula>
      <formula>0.75</formula>
    </cfRule>
    <cfRule type="cellIs" dxfId="811" priority="13" stopIfTrue="1" operator="greaterThan">
      <formula>0.75</formula>
    </cfRule>
    <cfRule type="cellIs" dxfId="810" priority="11" stopIfTrue="1" operator="lessThan">
      <formula>0.5</formula>
    </cfRule>
  </conditionalFormatting>
  <conditionalFormatting sqref="G43:G45">
    <cfRule type="cellIs" dxfId="809" priority="455" stopIfTrue="1" operator="greaterThan">
      <formula>0.75</formula>
    </cfRule>
    <cfRule type="cellIs" dxfId="808" priority="453" stopIfTrue="1" operator="lessThan">
      <formula>0.5</formula>
    </cfRule>
    <cfRule type="cellIs" dxfId="807" priority="454" stopIfTrue="1" operator="between">
      <formula>0.5</formula>
      <formula>0.75</formula>
    </cfRule>
  </conditionalFormatting>
  <conditionalFormatting sqref="G44 G47:G50 G54:G55">
    <cfRule type="cellIs" dxfId="806" priority="8" stopIfTrue="1" operator="between">
      <formula>0.5</formula>
      <formula>0.75</formula>
    </cfRule>
    <cfRule type="cellIs" dxfId="805" priority="9" stopIfTrue="1" operator="greaterThan">
      <formula>0.75</formula>
    </cfRule>
  </conditionalFormatting>
  <conditionalFormatting sqref="G47:G50 G54:G55 G44">
    <cfRule type="cellIs" dxfId="804" priority="7" stopIfTrue="1" operator="lessThan">
      <formula>0.5</formula>
    </cfRule>
  </conditionalFormatting>
  <conditionalFormatting sqref="G47:G50">
    <cfRule type="containsText" dxfId="803" priority="6" stopIfTrue="1" operator="containsText" text="RED FLAG">
      <formula>NOT(ISERROR(SEARCH("RED FLAG",G47)))</formula>
    </cfRule>
  </conditionalFormatting>
  <conditionalFormatting sqref="G51:G1048576">
    <cfRule type="containsText" dxfId="802" priority="56" stopIfTrue="1" operator="containsText" text="RED FLAG">
      <formula>NOT(ISERROR(SEARCH("RED FLAG",G51)))</formula>
    </cfRule>
  </conditionalFormatting>
  <conditionalFormatting sqref="G52">
    <cfRule type="cellIs" dxfId="801" priority="57" stopIfTrue="1" operator="lessThan">
      <formula>0.5</formula>
    </cfRule>
    <cfRule type="cellIs" dxfId="800" priority="58" stopIfTrue="1" operator="between">
      <formula>0.5</formula>
      <formula>0.75</formula>
    </cfRule>
    <cfRule type="cellIs" dxfId="799" priority="59" stopIfTrue="1" operator="greaterThan">
      <formula>0.75</formula>
    </cfRule>
  </conditionalFormatting>
  <conditionalFormatting sqref="G54:G56">
    <cfRule type="cellIs" dxfId="798" priority="498" stopIfTrue="1" operator="lessThan">
      <formula>0.5</formula>
    </cfRule>
    <cfRule type="cellIs" dxfId="797" priority="499" stopIfTrue="1" operator="between">
      <formula>0.5</formula>
      <formula>0.75</formula>
    </cfRule>
    <cfRule type="cellIs" dxfId="796" priority="500" stopIfTrue="1" operator="greaterThan">
      <formula>0.75</formula>
    </cfRule>
  </conditionalFormatting>
  <conditionalFormatting sqref="G55">
    <cfRule type="cellIs" dxfId="795" priority="5" stopIfTrue="1" operator="greaterThan">
      <formula>0.75</formula>
    </cfRule>
    <cfRule type="cellIs" dxfId="794" priority="4" stopIfTrue="1" operator="between">
      <formula>0.5</formula>
      <formula>0.75</formula>
    </cfRule>
    <cfRule type="cellIs" dxfId="793" priority="3" stopIfTrue="1" operator="lessThan">
      <formula>0.5</formula>
    </cfRule>
  </conditionalFormatting>
  <conditionalFormatting sqref="I7:I9">
    <cfRule type="containsText" dxfId="792" priority="35" stopIfTrue="1" operator="containsText" text="RED FLAG">
      <formula>NOT(ISERROR(SEARCH("RED FLAG",I7)))</formula>
    </cfRule>
    <cfRule type="cellIs" dxfId="791" priority="36" stopIfTrue="1" operator="lessThan">
      <formula>0.5</formula>
    </cfRule>
    <cfRule type="cellIs" dxfId="790" priority="37" stopIfTrue="1" operator="between">
      <formula>0.5</formula>
      <formula>0.75</formula>
    </cfRule>
    <cfRule type="cellIs" dxfId="789" priority="38" stopIfTrue="1" operator="greaterThan">
      <formula>0.75</formula>
    </cfRule>
  </conditionalFormatting>
  <conditionalFormatting sqref="I12">
    <cfRule type="containsText" dxfId="788" priority="2" operator="containsText" text="Red Flag">
      <formula>NOT(ISERROR(SEARCH("Red Flag",I12)))</formula>
    </cfRule>
  </conditionalFormatting>
  <conditionalFormatting sqref="I37">
    <cfRule type="cellIs" dxfId="787" priority="50" stopIfTrue="1" operator="between">
      <formula>0.5</formula>
      <formula>0.75</formula>
    </cfRule>
    <cfRule type="containsText" dxfId="786" priority="48" stopIfTrue="1" operator="containsText" text="RED FLAG">
      <formula>NOT(ISERROR(SEARCH("RED FLAG",I37)))</formula>
    </cfRule>
    <cfRule type="cellIs" dxfId="785" priority="51" stopIfTrue="1" operator="greaterThan">
      <formula>0.75</formula>
    </cfRule>
    <cfRule type="cellIs" dxfId="784" priority="49" stopIfTrue="1" operator="lessThan">
      <formula>0.5</formula>
    </cfRule>
  </conditionalFormatting>
  <conditionalFormatting sqref="I39">
    <cfRule type="containsText" dxfId="783" priority="43" operator="containsText" text="Training Opportunity">
      <formula>NOT(ISERROR(SEARCH("Training Opportunity",I39)))</formula>
    </cfRule>
  </conditionalFormatting>
  <conditionalFormatting sqref="I52">
    <cfRule type="containsText" dxfId="782" priority="1" operator="containsText" text="Red Flag">
      <formula>NOT(ISERROR(SEARCH("Red Flag",I52)))</formula>
    </cfRule>
  </conditionalFormatting>
  <dataValidations count="5">
    <dataValidation type="list" allowBlank="1" showInputMessage="1" showErrorMessage="1" sqref="C51 C4 C25 C42" xr:uid="{00000000-0002-0000-0D00-000000000000}">
      <formula1>"Yes,No"</formula1>
    </dataValidation>
    <dataValidation type="list" allowBlank="1" showInputMessage="1" showErrorMessage="1" sqref="C47:C50 C26 C33 C37:C38 C43:C44 C18:C23 C12 C54:C56 C52 C5:C10" xr:uid="{00000000-0002-0000-0D00-000001000000}">
      <formula1>"Yes,No,NA"</formula1>
    </dataValidation>
    <dataValidation type="list" allowBlank="1" showInputMessage="1" showErrorMessage="1" sqref="C35 C13" xr:uid="{00000000-0002-0000-0D00-000002000000}">
      <formula1>"1,2,3,NA"</formula1>
    </dataValidation>
    <dataValidation type="list" allowBlank="1" showInputMessage="1" showErrorMessage="1" sqref="C39" xr:uid="{00000000-0002-0000-0D00-000003000000}">
      <formula1>"1,2,3"</formula1>
    </dataValidation>
    <dataValidation type="list" allowBlank="1" showInputMessage="1" showErrorMessage="1" sqref="C27" xr:uid="{00000000-0002-0000-0D00-000004000000}">
      <formula1>"1,2,3,4,NA"</formula1>
    </dataValidation>
  </dataValidations>
  <pageMargins left="0.25" right="0.25" top="0.75000000000000011" bottom="0.75000000000000011" header="0.30000000000000004" footer="0.30000000000000004"/>
  <pageSetup paperSize="9" scale="89" fitToHeight="2" orientation="landscape" r:id="rId1"/>
  <headerFooter>
    <oddFooter>&amp;C&amp;A -&amp;P</oddFooter>
  </headerFooter>
  <rowBreaks count="1" manualBreakCount="1">
    <brk id="23"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70C0"/>
    <pageSetUpPr fitToPage="1"/>
  </sheetPr>
  <dimension ref="A1:K244"/>
  <sheetViews>
    <sheetView zoomScaleNormal="100" zoomScaleSheetLayoutView="70" zoomScalePageLayoutView="80" workbookViewId="0">
      <selection activeCell="C12" sqref="C12"/>
    </sheetView>
  </sheetViews>
  <sheetFormatPr defaultColWidth="11" defaultRowHeight="15.6"/>
  <cols>
    <col min="1" max="1" width="5" style="6" bestFit="1" customWidth="1"/>
    <col min="2" max="2" width="82.19921875" style="8" customWidth="1"/>
    <col min="3" max="3" width="5.19921875" style="22" bestFit="1" customWidth="1"/>
    <col min="4" max="4" width="2.19921875" style="22" customWidth="1"/>
    <col min="5" max="5" width="3.69921875" style="22" hidden="1" customWidth="1"/>
    <col min="6" max="6" width="7.19921875" style="22" hidden="1" customWidth="1"/>
    <col min="7" max="7" width="5.19921875" style="22" customWidth="1"/>
    <col min="8" max="8" width="37.69921875" style="71" customWidth="1"/>
    <col min="9" max="9" width="9.69921875" style="22" customWidth="1"/>
    <col min="10" max="10" width="11" style="22"/>
    <col min="11" max="11" width="22.19921875" style="22" bestFit="1" customWidth="1"/>
    <col min="12" max="12" width="3.69921875" style="22" bestFit="1" customWidth="1"/>
    <col min="13" max="16384" width="11" style="22"/>
  </cols>
  <sheetData>
    <row r="1" spans="1:11">
      <c r="A1" s="10"/>
      <c r="B1" s="43" t="str">
        <f>Language!A1238</f>
        <v>10- IDENTIFICATION METHODS &amp; STANDARD OPERATING PROCEDURES</v>
      </c>
      <c r="C1" s="51" t="str">
        <f>IF(COUNT(G13:G245)=0,"???",AVERAGE(G13:G245))</f>
        <v>???</v>
      </c>
      <c r="H1" s="192" t="str">
        <f>'Facility 1'!H1</f>
        <v>Comments</v>
      </c>
    </row>
    <row r="2" spans="1:11" ht="16.2" thickBot="1">
      <c r="A2" s="10"/>
      <c r="B2" s="202" t="str">
        <f>Language!A1239</f>
        <v>Please note: all questions refer only to clinical patient isolates, NOT to research or environmental isolates</v>
      </c>
      <c r="C2" s="19"/>
      <c r="H2" s="193"/>
    </row>
    <row r="3" spans="1:11">
      <c r="A3" s="160"/>
      <c r="B3" s="77" t="str">
        <f>Language!A1240</f>
        <v>CONVENTIONAL ID METHODS - SOP SCORE SUMMARY</v>
      </c>
      <c r="C3" s="72" t="str">
        <f>IF(COUNT(C4:C8)=0,"???",AVERAGE(C4:C8))</f>
        <v>???</v>
      </c>
      <c r="H3" s="434"/>
    </row>
    <row r="4" spans="1:11">
      <c r="A4" s="10"/>
      <c r="B4" s="24" t="str">
        <f>Language!A1241</f>
        <v>Answer the questions below for each manual method/biochemical in use at the lab.</v>
      </c>
      <c r="C4" s="387" t="str">
        <f>IF(COUNT(G13,G22,G35,G44,G51,G60,G67,G74,G82,G90,G97,G104,G111,G118,G125,G132,G139,G146,G155,G162,G171,G178,G185,G192,G199)=0,"???",AVERAGE(G13,G22,G35,G44,G51,G60,G67,G74,G82,G90,G97,G104,G111,G118,G125,G132,G139,G146,G155,G162,G171,G178,G185,G192,G199))</f>
        <v>???</v>
      </c>
      <c r="H4" s="455" t="str">
        <f>Language!A1334</f>
        <v>Fully implemented*, up-to-date SOP is in place</v>
      </c>
    </row>
    <row r="5" spans="1:11" ht="20.55" customHeight="1">
      <c r="A5" s="10"/>
      <c r="B5" s="635" t="str">
        <f>Language!A1242</f>
        <v>*"Fully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v>
      </c>
      <c r="C5" s="387" t="str">
        <f>IF(COUNT(G14,G23,G36,G45,G52,G61,G68,G75,G83,G91,G98,G105,G112,G119,G126,G133,G140,G147,G156,G163,G172,G179,G186,G193,G200)=0,"???",AVERAGE(G14,G23,G36,G45,G52,G61,G68,G75,G83,G91,G98,G105,G112,G119,G126,G133,G140,G147,G156,G163,G172,G179,G186,G193,G200))</f>
        <v>???</v>
      </c>
      <c r="G5" s="509"/>
      <c r="H5" s="455" t="str">
        <f>Language!A1335</f>
        <v>SOP is readily available** to bench staff</v>
      </c>
    </row>
    <row r="6" spans="1:11" ht="20.55" customHeight="1">
      <c r="A6" s="10"/>
      <c r="B6" s="635" t="e">
        <f>Language!#REF!</f>
        <v>#REF!</v>
      </c>
      <c r="C6" s="387" t="str">
        <f>IF(COUNT(G15,G24,G37,G46,G53,G62,G69,G76,G84,G92,G99,G106,G113,G120,G127,G134,G141,G148,G157,G164,G173,G180,G187,G194,G201)=0,"???",AVERAGE(G15,G24,G37,G46,G53,G62,G69,G76,G84,G92,G99,G106,G113,G120,G127,G134,G141,G148,G157,G164,G173,G180,G187,G194,G201))</f>
        <v>???</v>
      </c>
      <c r="G6" s="509"/>
      <c r="H6" s="455" t="str">
        <f>Language!A1336</f>
        <v>SOP defines QC organisms, frequency, and expected results</v>
      </c>
    </row>
    <row r="7" spans="1:11" ht="20.55" customHeight="1">
      <c r="A7" s="10"/>
      <c r="B7" s="635" t="str">
        <f>Language!A1243</f>
        <v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v>
      </c>
      <c r="C7" s="387" t="str">
        <f>IF(COUNT(G16,G25,G38,G47,G54,G63,G70,G77,G85,G93,G100,G107,G114,G121,G128,G135,G142,G149,G158,G165,G174,G181,G188,G195,G202)=0,"???",AVERAGE(G16,G25,G38,G47,G54,G63,G70,G77,G85,G93,G100,G107,G114,G121,G128,G135,G142,G149,G158,G165,G174,G181,G188,G195,G202))</f>
        <v>???</v>
      </c>
      <c r="G7" s="509"/>
      <c r="H7" s="455" t="str">
        <f>Language!A1337</f>
        <v>SOP provides stepwise instructions for test performance</v>
      </c>
    </row>
    <row r="8" spans="1:11" ht="20.55" customHeight="1">
      <c r="A8" s="10"/>
      <c r="B8" s="635" t="e">
        <f>Language!#REF!</f>
        <v>#REF!</v>
      </c>
      <c r="C8" s="387" t="str">
        <f>IF(COUNT(G17,G26,G39,G48,G55,G64,G71,G78,G86,G94,G101,G108,G115,G122,G129,G136,G143,G150,G159,G166,G175,G182,G189,G196,G203)=0,"???",AVERAGE(G17,G26,G39,G48,G55,G64,G71,G78,G86,G94,G101,G108,G115,G122,G129,G136,G143,G150,G159,G166,G175,G182,G189,G196,G203))</f>
        <v>???</v>
      </c>
      <c r="G8" s="509"/>
      <c r="H8" s="455" t="str">
        <f>Language!A1338</f>
        <v>SOP provides stepwise instructions for test interpretation</v>
      </c>
    </row>
    <row r="9" spans="1:11">
      <c r="A9" s="16"/>
      <c r="B9" s="444"/>
      <c r="C9" s="227"/>
      <c r="D9" s="487"/>
      <c r="E9" s="194"/>
      <c r="F9" s="194"/>
      <c r="G9" s="194"/>
      <c r="H9" s="444"/>
      <c r="J9" s="194"/>
      <c r="K9" s="194"/>
    </row>
    <row r="10" spans="1:11" ht="16.2" thickBot="1">
      <c r="A10" s="160"/>
      <c r="B10" s="77" t="str">
        <f>Language!A1244</f>
        <v>STAPHYLOCOCCUS AUREUS, KEY ID METHODS</v>
      </c>
      <c r="C10" s="72" t="str">
        <f>IF((OR(C11="???", C20="???")),"???",IF(COUNT(G13:G30)=0,"NA",AVERAGE(G13:G30)))</f>
        <v>???</v>
      </c>
    </row>
    <row r="11" spans="1:11" ht="16.2" thickBot="1">
      <c r="A11" s="10"/>
      <c r="B11" s="45" t="str">
        <f>Language!A1245</f>
        <v>Catalase (H2O2)</v>
      </c>
      <c r="C11" s="199" t="str">
        <f>IF(C12="No","NA",IF(COUNTBLANK(C14:C18)=5,"???",IF(COUNT(G13:G18)=0,"NA",AVERAGE(G13:G18))))</f>
        <v>???</v>
      </c>
      <c r="H11" s="427"/>
    </row>
    <row r="12" spans="1:11" ht="27.6" customHeight="1">
      <c r="A12" s="118" t="s">
        <v>6126</v>
      </c>
      <c r="B12" s="37" t="str">
        <f>Language!A1246</f>
        <v>Is this reagent used to test patient isolates? (If No, select NA for the remaining questions about this reagent)</v>
      </c>
      <c r="C12" s="27"/>
      <c r="F12" s="29">
        <f t="shared" ref="F12:F18" si="0">C12</f>
        <v>0</v>
      </c>
      <c r="H12" s="430"/>
      <c r="J12" s="242"/>
    </row>
    <row r="13" spans="1:11" ht="27.6" customHeight="1">
      <c r="A13" s="118" t="s">
        <v>6127</v>
      </c>
      <c r="B13" s="401" t="str">
        <f>Language!A1247</f>
        <v>Has an up-to-date SOP been fully implemented?* (If the reagent is in use but there is no SOP, answer "no" to all remaining questions about this reagent)</v>
      </c>
      <c r="C13" s="27"/>
      <c r="F13" s="29">
        <f t="shared" si="0"/>
        <v>0</v>
      </c>
      <c r="G13" s="18" t="str">
        <f t="shared" ref="G13:G17" si="1">IF(F13="Yes",1,IF(F13="No",0,"'"))</f>
        <v>'</v>
      </c>
      <c r="H13" s="430"/>
      <c r="I13" s="63"/>
    </row>
    <row r="14" spans="1:11">
      <c r="A14" s="118" t="s">
        <v>6128</v>
      </c>
      <c r="B14" s="401" t="str">
        <f>Language!A1248</f>
        <v>Is the SOP readily available** to bench staff?</v>
      </c>
      <c r="C14" s="27"/>
      <c r="F14" s="29">
        <f t="shared" si="0"/>
        <v>0</v>
      </c>
      <c r="G14" s="18" t="str">
        <f t="shared" si="1"/>
        <v>'</v>
      </c>
      <c r="H14" s="430"/>
      <c r="I14" s="63"/>
    </row>
    <row r="15" spans="1:11" ht="27.6" customHeight="1">
      <c r="A15" s="118" t="s">
        <v>6129</v>
      </c>
      <c r="B15" s="401" t="str">
        <f>Language!A1249</f>
        <v>Does the SOP define QC organisms, QC frequency, and expected QC results?</v>
      </c>
      <c r="C15" s="27"/>
      <c r="F15" s="29">
        <f t="shared" si="0"/>
        <v>0</v>
      </c>
      <c r="G15" s="18" t="str">
        <f t="shared" si="1"/>
        <v>'</v>
      </c>
      <c r="H15" s="430"/>
      <c r="I15" s="63"/>
    </row>
    <row r="16" spans="1:11">
      <c r="A16" s="118" t="s">
        <v>6130</v>
      </c>
      <c r="B16" s="401" t="str">
        <f>Language!A1250</f>
        <v>Does the SOP provide stepwise instructions for how to perform the test correctly?</v>
      </c>
      <c r="C16" s="27"/>
      <c r="F16" s="29">
        <f t="shared" si="0"/>
        <v>0</v>
      </c>
      <c r="G16" s="18" t="str">
        <f>IF(F16="Yes",1,IF(F16="No",0,IF(F16="NA","NA","'")))</f>
        <v>'</v>
      </c>
      <c r="H16" s="430"/>
      <c r="I16" s="63"/>
    </row>
    <row r="17" spans="1:10">
      <c r="A17" s="118" t="s">
        <v>6131</v>
      </c>
      <c r="B17" s="401" t="str">
        <f>Language!A1251</f>
        <v>Does the SOP provide stepwise instructions for interpreting the test result correctly?</v>
      </c>
      <c r="C17" s="27"/>
      <c r="F17" s="29">
        <f t="shared" si="0"/>
        <v>0</v>
      </c>
      <c r="G17" s="18" t="str">
        <f t="shared" si="1"/>
        <v>'</v>
      </c>
      <c r="H17" s="430"/>
    </row>
    <row r="18" spans="1:10" ht="27.6" customHeight="1">
      <c r="A18" s="118" t="s">
        <v>6132</v>
      </c>
      <c r="B18" s="37" t="str">
        <f>Language!A1252</f>
        <v>Is catalase testing performed prior to coagulase testing on suspected Staphylococcus isolates?</v>
      </c>
      <c r="C18" s="46"/>
      <c r="F18" s="29">
        <f t="shared" si="0"/>
        <v>0</v>
      </c>
      <c r="G18" s="18" t="str">
        <f>IF(F18=1,1,IF(F18=2,0.5,IF(F18=3,0,"'")))</f>
        <v>'</v>
      </c>
      <c r="H18" s="430"/>
      <c r="I18" s="91" t="str">
        <f>IF(F18=2,"Red Flag",IF(F18=3,"Red Flag","'"))</f>
        <v>'</v>
      </c>
    </row>
    <row r="19" spans="1:10" ht="16.2" thickBot="1">
      <c r="A19" s="10"/>
      <c r="B19" s="36" t="str">
        <f>Language!A1253</f>
        <v>1: Always - 2:  Sometimes - 3: Never</v>
      </c>
      <c r="C19" s="42"/>
      <c r="F19" s="29"/>
      <c r="G19" s="18"/>
      <c r="H19" s="169"/>
      <c r="J19" s="63"/>
    </row>
    <row r="20" spans="1:10" ht="16.2" thickBot="1">
      <c r="A20" s="10"/>
      <c r="B20" s="45" t="str">
        <f>Language!A1254</f>
        <v>Coagulase plasma</v>
      </c>
      <c r="C20" s="199" t="str">
        <f>IF(C21="No","NA",IF(COUNTBLANK(C22:C29)=8,"???",IF(COUNT(G21:G29)=0,"NA",AVERAGE(G21:G29))))</f>
        <v>???</v>
      </c>
      <c r="H20" s="427"/>
    </row>
    <row r="21" spans="1:10" ht="27.6" customHeight="1">
      <c r="A21" s="118" t="s">
        <v>6133</v>
      </c>
      <c r="B21" s="37" t="str">
        <f>Language!A1246</f>
        <v>Is this reagent used to test patient isolates? (If No, select NA for the remaining questions about this reagent)</v>
      </c>
      <c r="C21" s="27"/>
      <c r="F21" s="29">
        <f t="shared" ref="F21:F27" si="2">C21</f>
        <v>0</v>
      </c>
      <c r="H21" s="430"/>
      <c r="J21" s="242"/>
    </row>
    <row r="22" spans="1:10" ht="27.6" customHeight="1">
      <c r="A22" s="118" t="s">
        <v>6134</v>
      </c>
      <c r="B22" s="37" t="str">
        <f>Language!A1247</f>
        <v>Has an up-to-date SOP been fully implemented?* (If the reagent is in use but there is no SOP, answer "no" to all remaining questions about this reagent)</v>
      </c>
      <c r="C22" s="27"/>
      <c r="F22" s="29">
        <f t="shared" si="2"/>
        <v>0</v>
      </c>
      <c r="G22" s="18" t="str">
        <f t="shared" ref="G22:G26" si="3">IF(F22="Yes",1,IF(F22="No",0,"'"))</f>
        <v>'</v>
      </c>
      <c r="H22" s="430"/>
    </row>
    <row r="23" spans="1:10">
      <c r="A23" s="118" t="s">
        <v>6135</v>
      </c>
      <c r="B23" s="37" t="str">
        <f>Language!A1248</f>
        <v>Is the SOP readily available** to bench staff?</v>
      </c>
      <c r="C23" s="27"/>
      <c r="F23" s="29">
        <f t="shared" si="2"/>
        <v>0</v>
      </c>
      <c r="G23" s="18" t="str">
        <f t="shared" si="3"/>
        <v>'</v>
      </c>
      <c r="H23" s="430"/>
    </row>
    <row r="24" spans="1:10" ht="27.6" customHeight="1">
      <c r="A24" s="118" t="s">
        <v>6136</v>
      </c>
      <c r="B24" s="37" t="str">
        <f>Language!A1249</f>
        <v>Does the SOP define QC organisms, QC frequency, and expected QC results?</v>
      </c>
      <c r="C24" s="27"/>
      <c r="F24" s="29">
        <f t="shared" si="2"/>
        <v>0</v>
      </c>
      <c r="G24" s="18" t="str">
        <f t="shared" si="3"/>
        <v>'</v>
      </c>
      <c r="H24" s="430"/>
    </row>
    <row r="25" spans="1:10">
      <c r="A25" s="118" t="s">
        <v>6137</v>
      </c>
      <c r="B25" s="37" t="str">
        <f>Language!A1250</f>
        <v>Does the SOP provide stepwise instructions for how to perform the test correctly?</v>
      </c>
      <c r="C25" s="27"/>
      <c r="F25" s="29">
        <f t="shared" si="2"/>
        <v>0</v>
      </c>
      <c r="G25" s="18" t="str">
        <f t="shared" si="3"/>
        <v>'</v>
      </c>
      <c r="H25" s="430"/>
    </row>
    <row r="26" spans="1:10">
      <c r="A26" s="118" t="s">
        <v>6138</v>
      </c>
      <c r="B26" s="37" t="str">
        <f>Language!A1251</f>
        <v>Does the SOP provide stepwise instructions for interpreting the test result correctly?</v>
      </c>
      <c r="C26" s="27"/>
      <c r="F26" s="29">
        <f t="shared" si="2"/>
        <v>0</v>
      </c>
      <c r="G26" s="18" t="str">
        <f t="shared" si="3"/>
        <v>'</v>
      </c>
      <c r="H26" s="430"/>
    </row>
    <row r="27" spans="1:10">
      <c r="A27" s="118" t="s">
        <v>6139</v>
      </c>
      <c r="B27" s="37" t="str">
        <f>Language!A1255</f>
        <v>What is the source of the plasma used for coagulase testing?</v>
      </c>
      <c r="C27" s="27"/>
      <c r="F27" s="29">
        <f t="shared" si="2"/>
        <v>0</v>
      </c>
      <c r="G27" s="18" t="str">
        <f>IF(F27=1,1,IF(F27=2,1,IF(F27=3,0.5,IF(F27=4,0,"'"))))</f>
        <v>'</v>
      </c>
      <c r="H27" s="430"/>
      <c r="J27" s="242"/>
    </row>
    <row r="28" spans="1:10" ht="27.6" customHeight="1">
      <c r="A28" s="10"/>
      <c r="B28" s="36" t="str">
        <f>Language!A1256</f>
        <v xml:space="preserve">1: Commercially purchased rabbit plasma – 2: Locally bled rabbit – 3: Human plasma – 4: Other source (please describe in comments) </v>
      </c>
      <c r="C28" s="42"/>
      <c r="F28" s="29"/>
      <c r="G28" s="18"/>
      <c r="H28" s="169"/>
    </row>
    <row r="29" spans="1:10" ht="27.6" customHeight="1">
      <c r="A29" s="118" t="s">
        <v>6140</v>
      </c>
      <c r="B29" s="37" t="str">
        <f>Language!A1257</f>
        <v>Are negative slide coagulase results confirmed with a tube coagulase test before being reported?</v>
      </c>
      <c r="C29" s="46"/>
      <c r="F29" s="29">
        <f>C29</f>
        <v>0</v>
      </c>
      <c r="G29" s="18" t="str">
        <f>IF(F29=1,1,IF(F29=2,0.5,IF(F29=3,0,"'")))</f>
        <v>'</v>
      </c>
      <c r="H29" s="430"/>
      <c r="I29" s="91" t="str">
        <f>IF(F29=2,"Red Flag",IF(F29=3,"Red Flag","'"))</f>
        <v>'</v>
      </c>
    </row>
    <row r="30" spans="1:10">
      <c r="A30" s="10"/>
      <c r="B30" s="36" t="str">
        <f>Language!A1258</f>
        <v>1: Always 2:  Sometimes 3: Never; NA, lab does not perform slide coagulase testing</v>
      </c>
      <c r="C30" s="42"/>
      <c r="F30" s="29"/>
      <c r="G30" s="18"/>
      <c r="H30" s="169"/>
    </row>
    <row r="31" spans="1:10" ht="16.2" thickBot="1">
      <c r="A31" s="10"/>
      <c r="B31" s="48"/>
      <c r="C31" s="42"/>
      <c r="F31" s="29"/>
      <c r="G31" s="18"/>
      <c r="H31" s="169"/>
    </row>
    <row r="32" spans="1:10" ht="16.2" thickBot="1">
      <c r="A32" s="160"/>
      <c r="B32" s="77" t="str">
        <f>Language!A1259</f>
        <v>STAPHYLOCOCCUS AUREUS, OTHER ID METHODS</v>
      </c>
      <c r="C32" s="72" t="str">
        <f>IF((OR(C33="???",C42="???",C49="???")),"???",IF(COUNT(G34:G55)=0,"NA",AVERAGE(G34:G55)))</f>
        <v>???</v>
      </c>
      <c r="F32" s="29"/>
      <c r="G32" s="18"/>
      <c r="H32" s="427"/>
    </row>
    <row r="33" spans="1:10" ht="16.2" thickBot="1">
      <c r="A33" s="10"/>
      <c r="B33" s="45" t="str">
        <f>Language!A1260</f>
        <v>Staph latex agglutination</v>
      </c>
      <c r="C33" s="199" t="str">
        <f>IF(C34="No","NA",IF(COUNTBLANK(C35:C40)=6,"???",IF(COUNT(G35:G40)=0,"NA",AVERAGE(G35:G40))))</f>
        <v>???</v>
      </c>
      <c r="H33" s="427"/>
    </row>
    <row r="34" spans="1:10" ht="27.6" customHeight="1">
      <c r="A34" s="118" t="s">
        <v>6141</v>
      </c>
      <c r="B34" s="37" t="str">
        <f>Language!A1246</f>
        <v>Is this reagent used to test patient isolates? (If No, select NA for the remaining questions about this reagent)</v>
      </c>
      <c r="C34" s="27"/>
      <c r="F34" s="29">
        <f t="shared" ref="F34:F40" si="4">C34</f>
        <v>0</v>
      </c>
      <c r="H34" s="430"/>
      <c r="J34" s="242"/>
    </row>
    <row r="35" spans="1:10" ht="27.6" customHeight="1">
      <c r="A35" s="118" t="s">
        <v>6142</v>
      </c>
      <c r="B35" s="37" t="str">
        <f>Language!A1247</f>
        <v>Has an up-to-date SOP been fully implemented?* (If the reagent is in use but there is no SOP, answer "no" to all remaining questions about this reagent)</v>
      </c>
      <c r="C35" s="27"/>
      <c r="F35" s="29">
        <f t="shared" si="4"/>
        <v>0</v>
      </c>
      <c r="G35" s="18" t="str">
        <f>IF(F35="Yes",1,IF(F35="No",0,"'"))</f>
        <v>'</v>
      </c>
      <c r="H35" s="430"/>
    </row>
    <row r="36" spans="1:10">
      <c r="A36" s="118" t="s">
        <v>6143</v>
      </c>
      <c r="B36" s="37" t="str">
        <f>Language!A1248</f>
        <v>Is the SOP readily available** to bench staff?</v>
      </c>
      <c r="C36" s="27"/>
      <c r="F36" s="29">
        <f t="shared" si="4"/>
        <v>0</v>
      </c>
      <c r="G36" s="18" t="str">
        <f t="shared" ref="G36:G39" si="5">IF(F36="Yes",1,IF(F36="No",0,"'"))</f>
        <v>'</v>
      </c>
      <c r="H36" s="430"/>
    </row>
    <row r="37" spans="1:10" ht="27.6" customHeight="1">
      <c r="A37" s="118" t="s">
        <v>6144</v>
      </c>
      <c r="B37" s="37" t="str">
        <f>Language!A1249</f>
        <v>Does the SOP define QC organisms, QC frequency, and expected QC results?</v>
      </c>
      <c r="C37" s="27"/>
      <c r="F37" s="29">
        <f t="shared" si="4"/>
        <v>0</v>
      </c>
      <c r="G37" s="18" t="str">
        <f t="shared" si="5"/>
        <v>'</v>
      </c>
      <c r="H37" s="430"/>
    </row>
    <row r="38" spans="1:10">
      <c r="A38" s="118" t="s">
        <v>6145</v>
      </c>
      <c r="B38" s="37" t="str">
        <f>Language!A1250</f>
        <v>Does the SOP provide stepwise instructions for how to perform the test correctly?</v>
      </c>
      <c r="C38" s="27"/>
      <c r="F38" s="29">
        <f t="shared" si="4"/>
        <v>0</v>
      </c>
      <c r="G38" s="18" t="str">
        <f t="shared" si="5"/>
        <v>'</v>
      </c>
      <c r="H38" s="430"/>
    </row>
    <row r="39" spans="1:10">
      <c r="A39" s="118" t="s">
        <v>6146</v>
      </c>
      <c r="B39" s="37" t="str">
        <f>Language!A1251</f>
        <v>Does the SOP provide stepwise instructions for interpreting the test result correctly?</v>
      </c>
      <c r="C39" s="27"/>
      <c r="F39" s="29">
        <f t="shared" si="4"/>
        <v>0</v>
      </c>
      <c r="G39" s="18" t="str">
        <f t="shared" si="5"/>
        <v>'</v>
      </c>
      <c r="H39" s="430"/>
    </row>
    <row r="40" spans="1:10">
      <c r="A40" s="118" t="s">
        <v>6147</v>
      </c>
      <c r="B40" s="37" t="str">
        <f>Language!A1261</f>
        <v>Are disposable reaction cards discarded after use (not reused)?</v>
      </c>
      <c r="C40" s="46"/>
      <c r="F40" s="29">
        <f t="shared" si="4"/>
        <v>0</v>
      </c>
      <c r="G40" s="18" t="str">
        <f>IF(F40=1,1,IF(F40=2,0.5,IF(F40=3,0,"'")))</f>
        <v>'</v>
      </c>
      <c r="H40" s="430"/>
    </row>
    <row r="41" spans="1:10" ht="27.6" customHeight="1" thickBot="1">
      <c r="A41" s="10"/>
      <c r="B41" s="36" t="str">
        <f>Language!A1262</f>
        <v>1: Always - 2:  Sometimes - 3: No - NA, lab does not use latex agglutination to identify Staph</v>
      </c>
      <c r="F41" s="29"/>
      <c r="G41" s="18"/>
      <c r="H41" s="169"/>
    </row>
    <row r="42" spans="1:10" ht="16.2" thickBot="1">
      <c r="A42" s="10"/>
      <c r="B42" s="45" t="str">
        <f>Language!A1263</f>
        <v>Staph chromagar</v>
      </c>
      <c r="C42" s="199" t="str">
        <f>IF(C43="No","NA",IF(COUNTBLANK(C44:C48)=5,"???",IF(COUNT(G44:G48)=0,"NA",AVERAGE(G44:G48))))</f>
        <v>???</v>
      </c>
      <c r="H42" s="427"/>
    </row>
    <row r="43" spans="1:10" ht="27.6" customHeight="1">
      <c r="A43" s="118" t="s">
        <v>6148</v>
      </c>
      <c r="B43" s="37" t="str">
        <f>Language!A1246</f>
        <v>Is this reagent used to test patient isolates? (If No, select NA for the remaining questions about this reagent)</v>
      </c>
      <c r="C43" s="27"/>
      <c r="F43" s="29">
        <f t="shared" ref="F43:F48" si="6">C43</f>
        <v>0</v>
      </c>
      <c r="G43" s="18"/>
      <c r="H43" s="430"/>
      <c r="J43" s="242"/>
    </row>
    <row r="44" spans="1:10" ht="27.6" customHeight="1">
      <c r="A44" s="118" t="s">
        <v>6149</v>
      </c>
      <c r="B44" s="37" t="str">
        <f>Language!A1247</f>
        <v>Has an up-to-date SOP been fully implemented?* (If the reagent is in use but there is no SOP, answer "no" to all remaining questions about this reagent)</v>
      </c>
      <c r="C44" s="27"/>
      <c r="F44" s="29">
        <f t="shared" si="6"/>
        <v>0</v>
      </c>
      <c r="G44" s="18" t="str">
        <f>IF(F44="Yes",1,IF(F44="No",0,"'"))</f>
        <v>'</v>
      </c>
      <c r="H44" s="430"/>
    </row>
    <row r="45" spans="1:10">
      <c r="A45" s="118" t="s">
        <v>6150</v>
      </c>
      <c r="B45" s="37" t="str">
        <f>Language!A1248</f>
        <v>Is the SOP readily available** to bench staff?</v>
      </c>
      <c r="C45" s="27"/>
      <c r="F45" s="29">
        <f t="shared" si="6"/>
        <v>0</v>
      </c>
      <c r="G45" s="18" t="str">
        <f t="shared" ref="G45:G48" si="7">IF(F45="Yes",1,IF(F45="No",0,"'"))</f>
        <v>'</v>
      </c>
      <c r="H45" s="430"/>
    </row>
    <row r="46" spans="1:10" ht="27.6" customHeight="1">
      <c r="A46" s="118" t="s">
        <v>6151</v>
      </c>
      <c r="B46" s="37" t="str">
        <f>Language!A1249</f>
        <v>Does the SOP define QC organisms, QC frequency, and expected QC results?</v>
      </c>
      <c r="C46" s="27"/>
      <c r="F46" s="29">
        <f t="shared" si="6"/>
        <v>0</v>
      </c>
      <c r="G46" s="18" t="str">
        <f t="shared" si="7"/>
        <v>'</v>
      </c>
      <c r="H46" s="430"/>
    </row>
    <row r="47" spans="1:10">
      <c r="A47" s="118" t="s">
        <v>6152</v>
      </c>
      <c r="B47" s="37" t="str">
        <f>Language!A1250</f>
        <v>Does the SOP provide stepwise instructions for how to perform the test correctly?</v>
      </c>
      <c r="C47" s="27"/>
      <c r="F47" s="29">
        <f t="shared" si="6"/>
        <v>0</v>
      </c>
      <c r="G47" s="18" t="str">
        <f t="shared" si="7"/>
        <v>'</v>
      </c>
      <c r="H47" s="430"/>
    </row>
    <row r="48" spans="1:10" ht="16.2" thickBot="1">
      <c r="A48" s="118" t="s">
        <v>6153</v>
      </c>
      <c r="B48" s="37" t="str">
        <f>Language!A1251</f>
        <v>Does the SOP provide stepwise instructions for interpreting the test result correctly?</v>
      </c>
      <c r="C48" s="27"/>
      <c r="F48" s="29">
        <f t="shared" si="6"/>
        <v>0</v>
      </c>
      <c r="G48" s="18" t="str">
        <f t="shared" si="7"/>
        <v>'</v>
      </c>
      <c r="H48" s="430"/>
    </row>
    <row r="49" spans="1:10" ht="16.2" thickBot="1">
      <c r="A49" s="10"/>
      <c r="B49" s="45" t="str">
        <f>Language!A1264</f>
        <v>DNase</v>
      </c>
      <c r="C49" s="199" t="str">
        <f>IF(C50="No","NA",IF(COUNTBLANK(C51:C55)=5,"???",IF(COUNT(G51:G55)=0,"NA",AVERAGE(G51:G55))))</f>
        <v>???</v>
      </c>
      <c r="F49" s="29"/>
      <c r="G49" s="18"/>
      <c r="H49" s="427"/>
    </row>
    <row r="50" spans="1:10" ht="27.6" customHeight="1">
      <c r="A50" s="118" t="s">
        <v>6154</v>
      </c>
      <c r="B50" s="37" t="str">
        <f>Language!A1246</f>
        <v>Is this reagent used to test patient isolates? (If No, select NA for the remaining questions about this reagent)</v>
      </c>
      <c r="C50" s="27"/>
      <c r="F50" s="29">
        <f t="shared" ref="F50:F55" si="8">C50</f>
        <v>0</v>
      </c>
      <c r="G50" s="18"/>
      <c r="H50" s="430"/>
      <c r="J50" s="242"/>
    </row>
    <row r="51" spans="1:10" ht="27.6" customHeight="1">
      <c r="A51" s="118" t="s">
        <v>6155</v>
      </c>
      <c r="B51" s="37" t="str">
        <f>Language!A1247</f>
        <v>Has an up-to-date SOP been fully implemented?* (If the reagent is in use but there is no SOP, answer "no" to all remaining questions about this reagent)</v>
      </c>
      <c r="C51" s="27"/>
      <c r="F51" s="29">
        <f t="shared" si="8"/>
        <v>0</v>
      </c>
      <c r="G51" s="18" t="str">
        <f>IF(F51="Yes",1,IF(F51="No",0,"'"))</f>
        <v>'</v>
      </c>
      <c r="H51" s="430"/>
    </row>
    <row r="52" spans="1:10">
      <c r="A52" s="118" t="s">
        <v>6156</v>
      </c>
      <c r="B52" s="37" t="str">
        <f>Language!A1248</f>
        <v>Is the SOP readily available** to bench staff?</v>
      </c>
      <c r="C52" s="27"/>
      <c r="F52" s="29">
        <f t="shared" si="8"/>
        <v>0</v>
      </c>
      <c r="G52" s="18" t="str">
        <f t="shared" ref="G52:G55" si="9">IF(F52="Yes",1,IF(F52="No",0,"'"))</f>
        <v>'</v>
      </c>
      <c r="H52" s="430"/>
    </row>
    <row r="53" spans="1:10" ht="27.6" customHeight="1">
      <c r="A53" s="118" t="s">
        <v>6157</v>
      </c>
      <c r="B53" s="37" t="str">
        <f>Language!A1249</f>
        <v>Does the SOP define QC organisms, QC frequency, and expected QC results?</v>
      </c>
      <c r="C53" s="27"/>
      <c r="F53" s="29">
        <f t="shared" si="8"/>
        <v>0</v>
      </c>
      <c r="G53" s="18" t="str">
        <f t="shared" si="9"/>
        <v>'</v>
      </c>
      <c r="H53" s="430"/>
    </row>
    <row r="54" spans="1:10">
      <c r="A54" s="118" t="s">
        <v>6158</v>
      </c>
      <c r="B54" s="37" t="str">
        <f>Language!A1250</f>
        <v>Does the SOP provide stepwise instructions for how to perform the test correctly?</v>
      </c>
      <c r="C54" s="27"/>
      <c r="F54" s="29">
        <f t="shared" si="8"/>
        <v>0</v>
      </c>
      <c r="G54" s="18" t="str">
        <f t="shared" si="9"/>
        <v>'</v>
      </c>
      <c r="H54" s="430"/>
    </row>
    <row r="55" spans="1:10">
      <c r="A55" s="118" t="s">
        <v>6159</v>
      </c>
      <c r="B55" s="37" t="str">
        <f>Language!A1251</f>
        <v>Does the SOP provide stepwise instructions for interpreting the test result correctly?</v>
      </c>
      <c r="C55" s="27"/>
      <c r="F55" s="29">
        <f t="shared" si="8"/>
        <v>0</v>
      </c>
      <c r="G55" s="18" t="str">
        <f t="shared" si="9"/>
        <v>'</v>
      </c>
      <c r="H55" s="430"/>
    </row>
    <row r="56" spans="1:10" ht="16.2" thickBot="1">
      <c r="A56" s="117"/>
      <c r="B56" s="20"/>
      <c r="H56" s="13"/>
    </row>
    <row r="57" spans="1:10" ht="16.2" thickBot="1">
      <c r="A57" s="160"/>
      <c r="B57" s="77" t="str">
        <f>Language!A1265</f>
        <v>STREPTOCOCCUS PNEUMONIAE, CONVENTIONAL ID METHODS</v>
      </c>
      <c r="C57" s="72" t="str">
        <f>IF((OR(C58="???",C65="???",C72="???",C80="???")),"???",IF(COUNT(G59:G86)=0,"NA",AVERAGE(G59:G86)))</f>
        <v>???</v>
      </c>
      <c r="H57" s="427"/>
    </row>
    <row r="58" spans="1:10" ht="16.2" thickBot="1">
      <c r="A58" s="10"/>
      <c r="B58" s="45" t="str">
        <f>Language!A1266</f>
        <v>PYR</v>
      </c>
      <c r="C58" s="199" t="str">
        <f>IF(C59="No","NA",IF(COUNTBLANK(C60:C64)=5,"???",IF(COUNT(G60:G64)=0,"NA",AVERAGE(G60:G64))))</f>
        <v>???</v>
      </c>
      <c r="H58" s="427"/>
    </row>
    <row r="59" spans="1:10" ht="27.6" customHeight="1">
      <c r="A59" s="118" t="s">
        <v>6160</v>
      </c>
      <c r="B59" s="37" t="str">
        <f>Language!A1246</f>
        <v>Is this reagent used to test patient isolates? (If No, select NA for the remaining questions about this reagent)</v>
      </c>
      <c r="C59" s="27"/>
      <c r="F59" s="29">
        <f t="shared" ref="F59:F64" si="10">C59</f>
        <v>0</v>
      </c>
      <c r="G59" s="18"/>
      <c r="H59" s="430"/>
      <c r="J59" s="242"/>
    </row>
    <row r="60" spans="1:10" ht="27.6" customHeight="1">
      <c r="A60" s="118" t="s">
        <v>6161</v>
      </c>
      <c r="B60" s="37" t="str">
        <f>Language!A1247</f>
        <v>Has an up-to-date SOP been fully implemented?* (If the reagent is in use but there is no SOP, answer "no" to all remaining questions about this reagent)</v>
      </c>
      <c r="C60" s="27"/>
      <c r="F60" s="29">
        <f t="shared" si="10"/>
        <v>0</v>
      </c>
      <c r="G60" s="18" t="str">
        <f>IF(F60="Yes",1,IF(F60="No",0,"'"))</f>
        <v>'</v>
      </c>
      <c r="H60" s="430"/>
    </row>
    <row r="61" spans="1:10">
      <c r="A61" s="118" t="s">
        <v>6162</v>
      </c>
      <c r="B61" s="37" t="str">
        <f>Language!A1248</f>
        <v>Is the SOP readily available** to bench staff?</v>
      </c>
      <c r="C61" s="27"/>
      <c r="F61" s="29">
        <f t="shared" si="10"/>
        <v>0</v>
      </c>
      <c r="G61" s="18" t="str">
        <f t="shared" ref="G61:G64" si="11">IF(F61="Yes",1,IF(F61="No",0,"'"))</f>
        <v>'</v>
      </c>
      <c r="H61" s="430"/>
    </row>
    <row r="62" spans="1:10" ht="27.6" customHeight="1">
      <c r="A62" s="118" t="s">
        <v>6163</v>
      </c>
      <c r="B62" s="37" t="str">
        <f>Language!A1249</f>
        <v>Does the SOP define QC organisms, QC frequency, and expected QC results?</v>
      </c>
      <c r="C62" s="27"/>
      <c r="F62" s="29">
        <f t="shared" si="10"/>
        <v>0</v>
      </c>
      <c r="G62" s="18" t="str">
        <f t="shared" si="11"/>
        <v>'</v>
      </c>
      <c r="H62" s="430"/>
    </row>
    <row r="63" spans="1:10">
      <c r="A63" s="118" t="s">
        <v>6164</v>
      </c>
      <c r="B63" s="37" t="str">
        <f>Language!A1250</f>
        <v>Does the SOP provide stepwise instructions for how to perform the test correctly?</v>
      </c>
      <c r="C63" s="27"/>
      <c r="F63" s="29">
        <f t="shared" si="10"/>
        <v>0</v>
      </c>
      <c r="G63" s="18" t="str">
        <f t="shared" si="11"/>
        <v>'</v>
      </c>
      <c r="H63" s="430"/>
    </row>
    <row r="64" spans="1:10" ht="16.2" thickBot="1">
      <c r="A64" s="118" t="s">
        <v>6165</v>
      </c>
      <c r="B64" s="37" t="str">
        <f>Language!A1251</f>
        <v>Does the SOP provide stepwise instructions for interpreting the test result correctly?</v>
      </c>
      <c r="C64" s="27"/>
      <c r="F64" s="29">
        <f t="shared" si="10"/>
        <v>0</v>
      </c>
      <c r="G64" s="18" t="str">
        <f t="shared" si="11"/>
        <v>'</v>
      </c>
      <c r="H64" s="430"/>
    </row>
    <row r="65" spans="1:10" ht="16.2" thickBot="1">
      <c r="A65" s="10"/>
      <c r="B65" s="45" t="str">
        <f>Language!A1267</f>
        <v>Bile solubility (deoxycholate)</v>
      </c>
      <c r="C65" s="74" t="str">
        <f>IF(C66="No","NA",IF(COUNTBLANK(C67:C71)=5,"???",IF(COUNT(G67:G71)=0,"NA",AVERAGE(G67:G71))))</f>
        <v>???</v>
      </c>
      <c r="H65" s="427"/>
    </row>
    <row r="66" spans="1:10" ht="27.6" customHeight="1">
      <c r="A66" s="118" t="s">
        <v>6166</v>
      </c>
      <c r="B66" s="37" t="str">
        <f>Language!A1246</f>
        <v>Is this reagent used to test patient isolates? (If No, select NA for the remaining questions about this reagent)</v>
      </c>
      <c r="C66" s="27"/>
      <c r="F66" s="29">
        <f t="shared" ref="F66:F71" si="12">C66</f>
        <v>0</v>
      </c>
      <c r="H66" s="430"/>
      <c r="J66" s="242"/>
    </row>
    <row r="67" spans="1:10" ht="27.6" customHeight="1">
      <c r="A67" s="118" t="s">
        <v>6167</v>
      </c>
      <c r="B67" s="37" t="str">
        <f>Language!A1247</f>
        <v>Has an up-to-date SOP been fully implemented?* (If the reagent is in use but there is no SOP, answer "no" to all remaining questions about this reagent)</v>
      </c>
      <c r="C67" s="27"/>
      <c r="F67" s="29">
        <f t="shared" si="12"/>
        <v>0</v>
      </c>
      <c r="G67" s="18" t="str">
        <f>IF(F67="Yes",1,IF(F67="No",0,"'"))</f>
        <v>'</v>
      </c>
      <c r="H67" s="430"/>
    </row>
    <row r="68" spans="1:10">
      <c r="A68" s="118" t="s">
        <v>6168</v>
      </c>
      <c r="B68" s="37" t="str">
        <f>Language!A1248</f>
        <v>Is the SOP readily available** to bench staff?</v>
      </c>
      <c r="C68" s="27"/>
      <c r="F68" s="29">
        <f t="shared" si="12"/>
        <v>0</v>
      </c>
      <c r="G68" s="18" t="str">
        <f t="shared" ref="G68:G71" si="13">IF(F68="Yes",1,IF(F68="No",0,"'"))</f>
        <v>'</v>
      </c>
      <c r="H68" s="430"/>
    </row>
    <row r="69" spans="1:10" ht="27.6" customHeight="1">
      <c r="A69" s="118" t="s">
        <v>6169</v>
      </c>
      <c r="B69" s="37" t="str">
        <f>Language!A1249</f>
        <v>Does the SOP define QC organisms, QC frequency, and expected QC results?</v>
      </c>
      <c r="C69" s="27"/>
      <c r="F69" s="29">
        <f t="shared" si="12"/>
        <v>0</v>
      </c>
      <c r="G69" s="18" t="str">
        <f t="shared" si="13"/>
        <v>'</v>
      </c>
      <c r="H69" s="430"/>
    </row>
    <row r="70" spans="1:10">
      <c r="A70" s="118" t="s">
        <v>6170</v>
      </c>
      <c r="B70" s="37" t="str">
        <f>Language!A1250</f>
        <v>Does the SOP provide stepwise instructions for how to perform the test correctly?</v>
      </c>
      <c r="C70" s="27"/>
      <c r="F70" s="29">
        <f t="shared" si="12"/>
        <v>0</v>
      </c>
      <c r="G70" s="18" t="str">
        <f t="shared" si="13"/>
        <v>'</v>
      </c>
      <c r="H70" s="430"/>
    </row>
    <row r="71" spans="1:10" ht="16.2" thickBot="1">
      <c r="A71" s="118" t="s">
        <v>6171</v>
      </c>
      <c r="B71" s="37" t="str">
        <f>Language!A1251</f>
        <v>Does the SOP provide stepwise instructions for interpreting the test result correctly?</v>
      </c>
      <c r="C71" s="27"/>
      <c r="F71" s="29">
        <f t="shared" si="12"/>
        <v>0</v>
      </c>
      <c r="G71" s="18" t="str">
        <f t="shared" si="13"/>
        <v>'</v>
      </c>
      <c r="H71" s="430"/>
    </row>
    <row r="72" spans="1:10" ht="16.2" thickBot="1">
      <c r="A72" s="10"/>
      <c r="B72" s="45" t="str">
        <f>Language!A1268</f>
        <v>Optochin (“P”) disk</v>
      </c>
      <c r="C72" s="199" t="str">
        <f>IF(C73="No","NA",IF(COUNTBLANK(C74:C79)=6,"???",IF(COUNT(G74:G79)=0,"NA",AVERAGE(G74:G79))))</f>
        <v>???</v>
      </c>
      <c r="H72" s="427"/>
    </row>
    <row r="73" spans="1:10" ht="27.6" customHeight="1">
      <c r="A73" s="118" t="s">
        <v>6172</v>
      </c>
      <c r="B73" s="37" t="str">
        <f>Language!A1246</f>
        <v>Is this reagent used to test patient isolates? (If No, select NA for the remaining questions about this reagent)</v>
      </c>
      <c r="C73" s="27"/>
      <c r="F73" s="29">
        <f t="shared" ref="F73:F79" si="14">C73</f>
        <v>0</v>
      </c>
      <c r="H73" s="430"/>
      <c r="J73" s="242"/>
    </row>
    <row r="74" spans="1:10" ht="27.6" customHeight="1">
      <c r="A74" s="118" t="s">
        <v>6173</v>
      </c>
      <c r="B74" s="37" t="str">
        <f>Language!A1247</f>
        <v>Has an up-to-date SOP been fully implemented?* (If the reagent is in use but there is no SOP, answer "no" to all remaining questions about this reagent)</v>
      </c>
      <c r="C74" s="27"/>
      <c r="F74" s="29">
        <f t="shared" si="14"/>
        <v>0</v>
      </c>
      <c r="G74" s="18" t="str">
        <f>IF(F74="Yes",1,IF(F74="No",0,"'"))</f>
        <v>'</v>
      </c>
      <c r="H74" s="430"/>
    </row>
    <row r="75" spans="1:10">
      <c r="A75" s="118" t="s">
        <v>6174</v>
      </c>
      <c r="B75" s="37" t="str">
        <f>Language!A1248</f>
        <v>Is the SOP readily available** to bench staff?</v>
      </c>
      <c r="C75" s="27"/>
      <c r="F75" s="29">
        <f t="shared" si="14"/>
        <v>0</v>
      </c>
      <c r="G75" s="18" t="str">
        <f t="shared" ref="G75:G78" si="15">IF(F75="Yes",1,IF(F75="No",0,"'"))</f>
        <v>'</v>
      </c>
      <c r="H75" s="430"/>
    </row>
    <row r="76" spans="1:10" ht="27.6" customHeight="1">
      <c r="A76" s="118" t="s">
        <v>6175</v>
      </c>
      <c r="B76" s="37" t="str">
        <f>Language!A1249</f>
        <v>Does the SOP define QC organisms, QC frequency, and expected QC results?</v>
      </c>
      <c r="C76" s="27"/>
      <c r="F76" s="29">
        <f t="shared" si="14"/>
        <v>0</v>
      </c>
      <c r="G76" s="18" t="str">
        <f t="shared" si="15"/>
        <v>'</v>
      </c>
      <c r="H76" s="430"/>
    </row>
    <row r="77" spans="1:10">
      <c r="A77" s="118" t="s">
        <v>6176</v>
      </c>
      <c r="B77" s="37" t="str">
        <f>Language!A1250</f>
        <v>Does the SOP provide stepwise instructions for how to perform the test correctly?</v>
      </c>
      <c r="C77" s="27"/>
      <c r="F77" s="29">
        <f t="shared" si="14"/>
        <v>0</v>
      </c>
      <c r="G77" s="18" t="str">
        <f t="shared" si="15"/>
        <v>'</v>
      </c>
      <c r="H77" s="430"/>
    </row>
    <row r="78" spans="1:10">
      <c r="A78" s="118" t="s">
        <v>6177</v>
      </c>
      <c r="B78" s="37" t="str">
        <f>Language!A1251</f>
        <v>Does the SOP provide stepwise instructions for interpreting the test result correctly?</v>
      </c>
      <c r="C78" s="27"/>
      <c r="F78" s="29">
        <f t="shared" si="14"/>
        <v>0</v>
      </c>
      <c r="G78" s="18" t="str">
        <f t="shared" si="15"/>
        <v>'</v>
      </c>
      <c r="H78" s="430"/>
    </row>
    <row r="79" spans="1:10" ht="27.6" customHeight="1" thickBot="1">
      <c r="A79" s="118" t="s">
        <v>6178</v>
      </c>
      <c r="B79" s="37" t="str">
        <f>Language!A1269</f>
        <v>If the Optochin result is equivocal (9-13mm), is bile solubility or other additional testing performed to confirm the ID?</v>
      </c>
      <c r="C79" s="27"/>
      <c r="F79" s="29">
        <f t="shared" si="14"/>
        <v>0</v>
      </c>
      <c r="G79" s="18" t="str">
        <f>IF(F79="Yes",1,IF(F79="No",0,"'"))</f>
        <v>'</v>
      </c>
      <c r="H79" s="430"/>
      <c r="I79" s="18" t="str">
        <f>IF(C79="No","Red Flag","'")</f>
        <v>'</v>
      </c>
    </row>
    <row r="80" spans="1:10" ht="16.2" thickBot="1">
      <c r="A80" s="10"/>
      <c r="B80" s="45" t="str">
        <f>Language!A1270</f>
        <v>Streptococcus pneumoniae latex agglutination</v>
      </c>
      <c r="C80" s="199" t="str">
        <f>IF(C81="No","NA",IF(COUNTBLANK(C82:C86)=5,"???",IF(COUNT(G82:G86)=0,"NA",AVERAGE(G82:G86))))</f>
        <v>???</v>
      </c>
      <c r="H80" s="427"/>
    </row>
    <row r="81" spans="1:10" ht="27.6" customHeight="1">
      <c r="A81" s="118" t="s">
        <v>6179</v>
      </c>
      <c r="B81" s="37" t="str">
        <f>Language!A1246</f>
        <v>Is this reagent used to test patient isolates? (If No, select NA for the remaining questions about this reagent)</v>
      </c>
      <c r="C81" s="27"/>
      <c r="F81" s="29">
        <f t="shared" ref="F81:F86" si="16">C81</f>
        <v>0</v>
      </c>
      <c r="G81" s="18"/>
      <c r="H81" s="430"/>
      <c r="J81" s="242"/>
    </row>
    <row r="82" spans="1:10" ht="27.6" customHeight="1">
      <c r="A82" s="118" t="s">
        <v>6180</v>
      </c>
      <c r="B82" s="37" t="str">
        <f>Language!A1247</f>
        <v>Has an up-to-date SOP been fully implemented?* (If the reagent is in use but there is no SOP, answer "no" to all remaining questions about this reagent)</v>
      </c>
      <c r="C82" s="27"/>
      <c r="F82" s="29">
        <f t="shared" si="16"/>
        <v>0</v>
      </c>
      <c r="G82" s="18" t="str">
        <f>IF(F82="Yes",1,IF(F82="No",0,"'"))</f>
        <v>'</v>
      </c>
      <c r="H82" s="430"/>
    </row>
    <row r="83" spans="1:10">
      <c r="A83" s="118" t="s">
        <v>6181</v>
      </c>
      <c r="B83" s="37" t="str">
        <f>Language!A1248</f>
        <v>Is the SOP readily available** to bench staff?</v>
      </c>
      <c r="C83" s="27"/>
      <c r="F83" s="29">
        <f t="shared" si="16"/>
        <v>0</v>
      </c>
      <c r="G83" s="18" t="str">
        <f t="shared" ref="G83:G86" si="17">IF(F83="Yes",1,IF(F83="No",0,"'"))</f>
        <v>'</v>
      </c>
      <c r="H83" s="430"/>
    </row>
    <row r="84" spans="1:10" ht="27.6" customHeight="1">
      <c r="A84" s="118" t="s">
        <v>6182</v>
      </c>
      <c r="B84" s="37" t="str">
        <f>Language!A1249</f>
        <v>Does the SOP define QC organisms, QC frequency, and expected QC results?</v>
      </c>
      <c r="C84" s="27"/>
      <c r="F84" s="29">
        <f t="shared" si="16"/>
        <v>0</v>
      </c>
      <c r="G84" s="18" t="str">
        <f t="shared" si="17"/>
        <v>'</v>
      </c>
      <c r="H84" s="430"/>
    </row>
    <row r="85" spans="1:10">
      <c r="A85" s="118" t="s">
        <v>6183</v>
      </c>
      <c r="B85" s="37" t="str">
        <f>Language!A1250</f>
        <v>Does the SOP provide stepwise instructions for how to perform the test correctly?</v>
      </c>
      <c r="C85" s="27"/>
      <c r="F85" s="29">
        <f t="shared" si="16"/>
        <v>0</v>
      </c>
      <c r="G85" s="18" t="str">
        <f t="shared" si="17"/>
        <v>'</v>
      </c>
      <c r="H85" s="430"/>
    </row>
    <row r="86" spans="1:10" ht="16.2" thickBot="1">
      <c r="A86" s="118" t="s">
        <v>6184</v>
      </c>
      <c r="B86" s="37" t="str">
        <f>Language!A1251</f>
        <v>Does the SOP provide stepwise instructions for interpreting the test result correctly?</v>
      </c>
      <c r="C86" s="27"/>
      <c r="F86" s="29">
        <f t="shared" si="16"/>
        <v>0</v>
      </c>
      <c r="G86" s="18" t="str">
        <f t="shared" si="17"/>
        <v>'</v>
      </c>
      <c r="H86" s="430"/>
    </row>
    <row r="87" spans="1:10" ht="16.2" thickBot="1">
      <c r="A87" s="160"/>
      <c r="B87" s="77" t="str">
        <f>Language!A1271</f>
        <v>ENTEROBACTERIACEAE, CONVENTIONAL ID METHODS</v>
      </c>
      <c r="C87" s="72" t="str">
        <f>IF((OR(C88="???",C95="???",C102="???",C109="???",C116="???",C123="???",C130="???",C137="???",C144="???")),"???",IF(COUNT(G89:G150)=0,"NA",AVERAGE(G89:G150)))</f>
        <v>???</v>
      </c>
      <c r="H87" s="427"/>
    </row>
    <row r="88" spans="1:10" ht="16.2" thickBot="1">
      <c r="A88" s="10"/>
      <c r="B88" s="45" t="str">
        <f>Language!A1272</f>
        <v>Oxidase</v>
      </c>
      <c r="C88" s="199" t="str">
        <f>IF(C89="No","NA",IF(COUNTBLANK(C90:C94)=5,"???",IF(COUNT(G90:G94)=0,"NA",AVERAGE(G90:G94))))</f>
        <v>???</v>
      </c>
      <c r="H88" s="427"/>
      <c r="J88" s="510"/>
    </row>
    <row r="89" spans="1:10" ht="27.6" customHeight="1">
      <c r="A89" s="118" t="s">
        <v>6185</v>
      </c>
      <c r="B89" s="37" t="str">
        <f>Language!A1246</f>
        <v>Is this reagent used to test patient isolates? (If No, select NA for the remaining questions about this reagent)</v>
      </c>
      <c r="C89" s="27"/>
      <c r="F89" s="29">
        <f t="shared" ref="F89:F94" si="18">C89</f>
        <v>0</v>
      </c>
      <c r="H89" s="430"/>
      <c r="J89" s="242"/>
    </row>
    <row r="90" spans="1:10" ht="27.6" customHeight="1">
      <c r="A90" s="118" t="s">
        <v>6186</v>
      </c>
      <c r="B90" s="37" t="str">
        <f>Language!A1247</f>
        <v>Has an up-to-date SOP been fully implemented?* (If the reagent is in use but there is no SOP, answer "no" to all remaining questions about this reagent)</v>
      </c>
      <c r="C90" s="27"/>
      <c r="F90" s="29">
        <f t="shared" si="18"/>
        <v>0</v>
      </c>
      <c r="G90" s="18" t="str">
        <f>IF(F90="Yes",1,IF(F90="No",0,"'"))</f>
        <v>'</v>
      </c>
      <c r="H90" s="430"/>
    </row>
    <row r="91" spans="1:10">
      <c r="A91" s="118" t="s">
        <v>6187</v>
      </c>
      <c r="B91" s="37" t="str">
        <f>Language!A1248</f>
        <v>Is the SOP readily available** to bench staff?</v>
      </c>
      <c r="C91" s="27"/>
      <c r="F91" s="29">
        <f t="shared" si="18"/>
        <v>0</v>
      </c>
      <c r="G91" s="18" t="str">
        <f t="shared" ref="G91:G94" si="19">IF(F91="Yes",1,IF(F91="No",0,"'"))</f>
        <v>'</v>
      </c>
      <c r="H91" s="430"/>
    </row>
    <row r="92" spans="1:10" ht="27.6" customHeight="1">
      <c r="A92" s="118" t="s">
        <v>6188</v>
      </c>
      <c r="B92" s="37" t="str">
        <f>Language!A1249</f>
        <v>Does the SOP define QC organisms, QC frequency, and expected QC results?</v>
      </c>
      <c r="C92" s="27"/>
      <c r="F92" s="29">
        <f t="shared" si="18"/>
        <v>0</v>
      </c>
      <c r="G92" s="18" t="str">
        <f t="shared" si="19"/>
        <v>'</v>
      </c>
      <c r="H92" s="430"/>
    </row>
    <row r="93" spans="1:10">
      <c r="A93" s="118" t="s">
        <v>6189</v>
      </c>
      <c r="B93" s="37" t="str">
        <f>Language!A1250</f>
        <v>Does the SOP provide stepwise instructions for how to perform the test correctly?</v>
      </c>
      <c r="C93" s="27"/>
      <c r="F93" s="29">
        <f t="shared" si="18"/>
        <v>0</v>
      </c>
      <c r="G93" s="18" t="str">
        <f t="shared" si="19"/>
        <v>'</v>
      </c>
      <c r="H93" s="430"/>
    </row>
    <row r="94" spans="1:10" ht="16.2" thickBot="1">
      <c r="A94" s="118" t="s">
        <v>6190</v>
      </c>
      <c r="B94" s="37" t="str">
        <f>Language!A1251</f>
        <v>Does the SOP provide stepwise instructions for interpreting the test result correctly?</v>
      </c>
      <c r="C94" s="27"/>
      <c r="F94" s="29">
        <f t="shared" si="18"/>
        <v>0</v>
      </c>
      <c r="G94" s="18" t="str">
        <f t="shared" si="19"/>
        <v>'</v>
      </c>
      <c r="H94" s="430"/>
    </row>
    <row r="95" spans="1:10" ht="16.2" thickBot="1">
      <c r="A95" s="10"/>
      <c r="B95" s="45" t="str">
        <f>Language!A1273</f>
        <v>Indole</v>
      </c>
      <c r="C95" s="199" t="str">
        <f>IF(C96="No","NA",IF(COUNTBLANK(C97:C101)=5,"???",IF(COUNT(G97:G101)=0,"NA",AVERAGE(G97:G101))))</f>
        <v>???</v>
      </c>
      <c r="H95" s="427"/>
    </row>
    <row r="96" spans="1:10" ht="27.6" customHeight="1">
      <c r="A96" s="118" t="s">
        <v>6191</v>
      </c>
      <c r="B96" s="37" t="str">
        <f>Language!A1246</f>
        <v>Is this reagent used to test patient isolates? (If No, select NA for the remaining questions about this reagent)</v>
      </c>
      <c r="C96" s="27"/>
      <c r="F96" s="29">
        <f t="shared" ref="F96:F101" si="20">C96</f>
        <v>0</v>
      </c>
      <c r="H96" s="430"/>
      <c r="J96" s="242"/>
    </row>
    <row r="97" spans="1:10" ht="27.6" customHeight="1">
      <c r="A97" s="118" t="s">
        <v>6192</v>
      </c>
      <c r="B97" s="37" t="str">
        <f>Language!A1247</f>
        <v>Has an up-to-date SOP been fully implemented?* (If the reagent is in use but there is no SOP, answer "no" to all remaining questions about this reagent)</v>
      </c>
      <c r="C97" s="27"/>
      <c r="F97" s="29">
        <f t="shared" si="20"/>
        <v>0</v>
      </c>
      <c r="G97" s="18" t="str">
        <f>IF(F97="Yes",1,IF(F97="No",0,"'"))</f>
        <v>'</v>
      </c>
      <c r="H97" s="430"/>
      <c r="I97" s="242"/>
    </row>
    <row r="98" spans="1:10">
      <c r="A98" s="118" t="s">
        <v>6193</v>
      </c>
      <c r="B98" s="37" t="str">
        <f>Language!A1248</f>
        <v>Is the SOP readily available** to bench staff?</v>
      </c>
      <c r="C98" s="27"/>
      <c r="F98" s="29">
        <f t="shared" si="20"/>
        <v>0</v>
      </c>
      <c r="G98" s="18" t="str">
        <f t="shared" ref="G98:G101" si="21">IF(F98="Yes",1,IF(F98="No",0,"'"))</f>
        <v>'</v>
      </c>
      <c r="H98" s="430"/>
    </row>
    <row r="99" spans="1:10" ht="27.6" customHeight="1">
      <c r="A99" s="118" t="s">
        <v>6194</v>
      </c>
      <c r="B99" s="37" t="str">
        <f>Language!A1249</f>
        <v>Does the SOP define QC organisms, QC frequency, and expected QC results?</v>
      </c>
      <c r="C99" s="27"/>
      <c r="F99" s="29">
        <f t="shared" si="20"/>
        <v>0</v>
      </c>
      <c r="G99" s="18" t="str">
        <f t="shared" si="21"/>
        <v>'</v>
      </c>
      <c r="H99" s="430"/>
    </row>
    <row r="100" spans="1:10">
      <c r="A100" s="118" t="s">
        <v>6195</v>
      </c>
      <c r="B100" s="37" t="str">
        <f>Language!A1250</f>
        <v>Does the SOP provide stepwise instructions for how to perform the test correctly?</v>
      </c>
      <c r="C100" s="27"/>
      <c r="F100" s="29">
        <f t="shared" si="20"/>
        <v>0</v>
      </c>
      <c r="G100" s="18" t="str">
        <f t="shared" si="21"/>
        <v>'</v>
      </c>
      <c r="H100" s="430"/>
    </row>
    <row r="101" spans="1:10" ht="16.2" thickBot="1">
      <c r="A101" s="118" t="s">
        <v>6196</v>
      </c>
      <c r="B101" s="37" t="str">
        <f>Language!A1251</f>
        <v>Does the SOP provide stepwise instructions for interpreting the test result correctly?</v>
      </c>
      <c r="C101" s="27"/>
      <c r="F101" s="29">
        <f t="shared" si="20"/>
        <v>0</v>
      </c>
      <c r="G101" s="18" t="str">
        <f t="shared" si="21"/>
        <v>'</v>
      </c>
      <c r="H101" s="430"/>
    </row>
    <row r="102" spans="1:10" ht="16.2" thickBot="1">
      <c r="A102" s="10"/>
      <c r="B102" s="45" t="str">
        <f>Language!A1274</f>
        <v>Methyl Red</v>
      </c>
      <c r="C102" s="199" t="str">
        <f>IF(C103="No","NA",IF(COUNTBLANK(C104:C108)=5,"???",IF(COUNT(G104:G108)=0,"NA",AVERAGE(G104:G108))))</f>
        <v>???</v>
      </c>
      <c r="H102" s="427"/>
    </row>
    <row r="103" spans="1:10" ht="27.6" customHeight="1">
      <c r="A103" s="198" t="s">
        <v>6197</v>
      </c>
      <c r="B103" s="37" t="str">
        <f>Language!A1246</f>
        <v>Is this reagent used to test patient isolates? (If No, select NA for the remaining questions about this reagent)</v>
      </c>
      <c r="C103" s="27"/>
      <c r="F103" s="29">
        <f t="shared" ref="F103:F108" si="22">C103</f>
        <v>0</v>
      </c>
      <c r="G103" s="18"/>
      <c r="H103" s="430"/>
      <c r="J103" s="242"/>
    </row>
    <row r="104" spans="1:10" ht="27.6" customHeight="1">
      <c r="A104" s="198" t="s">
        <v>6198</v>
      </c>
      <c r="B104" s="37" t="str">
        <f>Language!A1276</f>
        <v>Has an up-to-date SOP been fully implemented?* (If the reagent is in use but there is no SOP, answer "no" to all remaining questions about this reagent)</v>
      </c>
      <c r="C104" s="27"/>
      <c r="F104" s="29">
        <f t="shared" si="22"/>
        <v>0</v>
      </c>
      <c r="G104" s="18" t="str">
        <f>IF(F104="Yes",1,IF(F104="No",0,"'"))</f>
        <v>'</v>
      </c>
      <c r="H104" s="430"/>
    </row>
    <row r="105" spans="1:10">
      <c r="A105" s="198" t="s">
        <v>6199</v>
      </c>
      <c r="B105" s="37" t="str">
        <f>Language!A1277</f>
        <v>Is the SOP readily available** to bench staff?</v>
      </c>
      <c r="C105" s="27"/>
      <c r="F105" s="29">
        <f t="shared" si="22"/>
        <v>0</v>
      </c>
      <c r="G105" s="18" t="str">
        <f t="shared" ref="G105:G108" si="23">IF(F105="Yes",1,IF(F105="No",0,"'"))</f>
        <v>'</v>
      </c>
      <c r="H105" s="430"/>
    </row>
    <row r="106" spans="1:10" ht="27.6" customHeight="1">
      <c r="A106" s="198" t="s">
        <v>6200</v>
      </c>
      <c r="B106" s="37" t="str">
        <f>Language!A1278</f>
        <v>Does the SOP define QC organisms, QC frequency, and expected QC results?</v>
      </c>
      <c r="C106" s="27"/>
      <c r="F106" s="29">
        <f t="shared" si="22"/>
        <v>0</v>
      </c>
      <c r="G106" s="18" t="str">
        <f t="shared" si="23"/>
        <v>'</v>
      </c>
      <c r="H106" s="430"/>
    </row>
    <row r="107" spans="1:10">
      <c r="A107" s="198" t="s">
        <v>6201</v>
      </c>
      <c r="B107" s="37" t="str">
        <f>Language!A1279</f>
        <v>Does the SOP provide stepwise instructions for inoculation and incubation?</v>
      </c>
      <c r="C107" s="27"/>
      <c r="F107" s="29">
        <f t="shared" si="22"/>
        <v>0</v>
      </c>
      <c r="G107" s="18" t="str">
        <f t="shared" si="23"/>
        <v>'</v>
      </c>
      <c r="H107" s="430"/>
    </row>
    <row r="108" spans="1:10" ht="16.2" thickBot="1">
      <c r="A108" s="198" t="s">
        <v>6202</v>
      </c>
      <c r="B108" s="37" t="str">
        <f>Language!A1280</f>
        <v>Does the SOP provide stepwise instructions for reading and interpretation?</v>
      </c>
      <c r="C108" s="27"/>
      <c r="F108" s="29">
        <f t="shared" si="22"/>
        <v>0</v>
      </c>
      <c r="G108" s="18" t="str">
        <f t="shared" si="23"/>
        <v>'</v>
      </c>
      <c r="H108" s="430"/>
    </row>
    <row r="109" spans="1:10" ht="16.2" thickBot="1">
      <c r="A109" s="10"/>
      <c r="B109" s="45" t="str">
        <f>Language!A1281</f>
        <v>Voges-Proskauer</v>
      </c>
      <c r="C109" s="199" t="str">
        <f>IF(C110="No","NA",IF(COUNTBLANK(C111:C115)=5,"???",IF(COUNT(G111:G115)=0,"NA",AVERAGE(G111:G115))))</f>
        <v>???</v>
      </c>
      <c r="H109" s="427"/>
    </row>
    <row r="110" spans="1:10" ht="27.6" customHeight="1">
      <c r="A110" s="118" t="s">
        <v>6203</v>
      </c>
      <c r="B110" s="37" t="str">
        <f>Language!A1246</f>
        <v>Is this reagent used to test patient isolates? (If No, select NA for the remaining questions about this reagent)</v>
      </c>
      <c r="C110" s="27"/>
      <c r="F110" s="29">
        <f t="shared" ref="F110:F115" si="24">C110</f>
        <v>0</v>
      </c>
      <c r="G110" s="18"/>
      <c r="H110" s="430"/>
      <c r="J110" s="242"/>
    </row>
    <row r="111" spans="1:10" ht="27.6" customHeight="1">
      <c r="A111" s="118" t="s">
        <v>6204</v>
      </c>
      <c r="B111" s="37" t="str">
        <f>Language!A1276</f>
        <v>Has an up-to-date SOP been fully implemented?* (If the reagent is in use but there is no SOP, answer "no" to all remaining questions about this reagent)</v>
      </c>
      <c r="C111" s="27"/>
      <c r="F111" s="29">
        <f t="shared" si="24"/>
        <v>0</v>
      </c>
      <c r="G111" s="18" t="str">
        <f>IF(F111="Yes",1,IF(F111="No",0,"'"))</f>
        <v>'</v>
      </c>
      <c r="H111" s="430"/>
    </row>
    <row r="112" spans="1:10">
      <c r="A112" s="118" t="s">
        <v>6205</v>
      </c>
      <c r="B112" s="37" t="str">
        <f>Language!A1277</f>
        <v>Is the SOP readily available** to bench staff?</v>
      </c>
      <c r="C112" s="27"/>
      <c r="F112" s="29">
        <f t="shared" si="24"/>
        <v>0</v>
      </c>
      <c r="G112" s="18" t="str">
        <f t="shared" ref="G112:G115" si="25">IF(F112="Yes",1,IF(F112="No",0,"'"))</f>
        <v>'</v>
      </c>
      <c r="H112" s="430"/>
    </row>
    <row r="113" spans="1:10" ht="27.6" customHeight="1">
      <c r="A113" s="118" t="s">
        <v>6206</v>
      </c>
      <c r="B113" s="37" t="str">
        <f>Language!A1278</f>
        <v>Does the SOP define QC organisms, QC frequency, and expected QC results?</v>
      </c>
      <c r="C113" s="27"/>
      <c r="F113" s="29">
        <f t="shared" si="24"/>
        <v>0</v>
      </c>
      <c r="G113" s="18" t="str">
        <f t="shared" si="25"/>
        <v>'</v>
      </c>
      <c r="H113" s="430"/>
    </row>
    <row r="114" spans="1:10">
      <c r="A114" s="118" t="s">
        <v>6207</v>
      </c>
      <c r="B114" s="37" t="str">
        <f>Language!A1279</f>
        <v>Does the SOP provide stepwise instructions for inoculation and incubation?</v>
      </c>
      <c r="C114" s="27"/>
      <c r="F114" s="29">
        <f t="shared" si="24"/>
        <v>0</v>
      </c>
      <c r="G114" s="18" t="str">
        <f t="shared" si="25"/>
        <v>'</v>
      </c>
      <c r="H114" s="430"/>
    </row>
    <row r="115" spans="1:10" ht="16.2" thickBot="1">
      <c r="A115" s="118" t="s">
        <v>6208</v>
      </c>
      <c r="B115" s="37" t="str">
        <f>Language!A1280</f>
        <v>Does the SOP provide stepwise instructions for reading and interpretation?</v>
      </c>
      <c r="C115" s="27"/>
      <c r="F115" s="29">
        <f t="shared" si="24"/>
        <v>0</v>
      </c>
      <c r="G115" s="18" t="str">
        <f t="shared" si="25"/>
        <v>'</v>
      </c>
      <c r="H115" s="430"/>
    </row>
    <row r="116" spans="1:10" ht="16.2" thickBot="1">
      <c r="A116" s="10"/>
      <c r="B116" s="45" t="str">
        <f>Language!A1282</f>
        <v>Citrate</v>
      </c>
      <c r="C116" s="199" t="str">
        <f>IF(C117="No","NA",IF(COUNTBLANK(C118:C122)=5,"???",IF(COUNT(G118:G122)=0,"NA",AVERAGE(G118:G122))))</f>
        <v>???</v>
      </c>
      <c r="H116" s="427"/>
    </row>
    <row r="117" spans="1:10" ht="27.6" customHeight="1">
      <c r="A117" s="118" t="s">
        <v>6209</v>
      </c>
      <c r="B117" s="37" t="str">
        <f>Language!A1246</f>
        <v>Is this reagent used to test patient isolates? (If No, select NA for the remaining questions about this reagent)</v>
      </c>
      <c r="C117" s="27"/>
      <c r="F117" s="29">
        <f t="shared" ref="F117:F122" si="26">C117</f>
        <v>0</v>
      </c>
      <c r="G117" s="18"/>
      <c r="H117" s="430"/>
      <c r="J117" s="242"/>
    </row>
    <row r="118" spans="1:10" ht="27.6" customHeight="1">
      <c r="A118" s="118" t="s">
        <v>6210</v>
      </c>
      <c r="B118" s="37" t="str">
        <f>Language!A1276</f>
        <v>Has an up-to-date SOP been fully implemented?* (If the reagent is in use but there is no SOP, answer "no" to all remaining questions about this reagent)</v>
      </c>
      <c r="C118" s="27"/>
      <c r="F118" s="29">
        <f t="shared" si="26"/>
        <v>0</v>
      </c>
      <c r="G118" s="18" t="str">
        <f>IF(F118="Yes",1,IF(F118="No",0,"'"))</f>
        <v>'</v>
      </c>
      <c r="H118" s="430"/>
    </row>
    <row r="119" spans="1:10">
      <c r="A119" s="118" t="s">
        <v>6211</v>
      </c>
      <c r="B119" s="37" t="str">
        <f>Language!A1277</f>
        <v>Is the SOP readily available** to bench staff?</v>
      </c>
      <c r="C119" s="27"/>
      <c r="F119" s="29">
        <f t="shared" si="26"/>
        <v>0</v>
      </c>
      <c r="G119" s="18" t="str">
        <f t="shared" ref="G119:G122" si="27">IF(F119="Yes",1,IF(F119="No",0,"'"))</f>
        <v>'</v>
      </c>
      <c r="H119" s="430"/>
    </row>
    <row r="120" spans="1:10" ht="27.6" customHeight="1">
      <c r="A120" s="118" t="s">
        <v>6212</v>
      </c>
      <c r="B120" s="37" t="str">
        <f>Language!A1278</f>
        <v>Does the SOP define QC organisms, QC frequency, and expected QC results?</v>
      </c>
      <c r="C120" s="27"/>
      <c r="F120" s="29">
        <f t="shared" si="26"/>
        <v>0</v>
      </c>
      <c r="G120" s="18" t="str">
        <f t="shared" si="27"/>
        <v>'</v>
      </c>
      <c r="H120" s="430"/>
    </row>
    <row r="121" spans="1:10">
      <c r="A121" s="118" t="s">
        <v>6213</v>
      </c>
      <c r="B121" s="37" t="str">
        <f>Language!A1279</f>
        <v>Does the SOP provide stepwise instructions for inoculation and incubation?</v>
      </c>
      <c r="C121" s="27"/>
      <c r="F121" s="29">
        <f t="shared" si="26"/>
        <v>0</v>
      </c>
      <c r="G121" s="18" t="str">
        <f t="shared" si="27"/>
        <v>'</v>
      </c>
      <c r="H121" s="430"/>
    </row>
    <row r="122" spans="1:10" ht="16.2" thickBot="1">
      <c r="A122" s="118" t="s">
        <v>6214</v>
      </c>
      <c r="B122" s="37" t="str">
        <f>Language!A1280</f>
        <v>Does the SOP provide stepwise instructions for reading and interpretation?</v>
      </c>
      <c r="C122" s="27"/>
      <c r="F122" s="29">
        <f t="shared" si="26"/>
        <v>0</v>
      </c>
      <c r="G122" s="18" t="str">
        <f t="shared" si="27"/>
        <v>'</v>
      </c>
      <c r="H122" s="430"/>
    </row>
    <row r="123" spans="1:10" ht="16.2" thickBot="1">
      <c r="A123" s="10"/>
      <c r="B123" s="45" t="str">
        <f>Language!A1283</f>
        <v>Triple Sugar Iron (TSI) or Kligler Iron Agar (KIA)</v>
      </c>
      <c r="C123" s="199" t="str">
        <f>IF(C124="NO","NA",IF(COUNTBLANK(C125:C129)=5,"???",IF(COUNT(G125:G129)=0,"NA",AVERAGE(G125:G129))))</f>
        <v>???</v>
      </c>
      <c r="H123" s="427"/>
    </row>
    <row r="124" spans="1:10" ht="27.6" customHeight="1">
      <c r="A124" s="118" t="s">
        <v>6215</v>
      </c>
      <c r="B124" s="37" t="str">
        <f>Language!A1246</f>
        <v>Is this reagent used to test patient isolates? (If No, select NA for the remaining questions about this reagent)</v>
      </c>
      <c r="C124" s="27"/>
      <c r="F124" s="29">
        <f t="shared" ref="F124:F129" si="28">C124</f>
        <v>0</v>
      </c>
      <c r="G124" s="18"/>
      <c r="H124" s="430"/>
      <c r="J124" s="242"/>
    </row>
    <row r="125" spans="1:10" ht="27.6" customHeight="1">
      <c r="A125" s="118" t="s">
        <v>6216</v>
      </c>
      <c r="B125" s="37" t="str">
        <f>Language!A1276</f>
        <v>Has an up-to-date SOP been fully implemented?* (If the reagent is in use but there is no SOP, answer "no" to all remaining questions about this reagent)</v>
      </c>
      <c r="C125" s="27"/>
      <c r="F125" s="29">
        <f t="shared" si="28"/>
        <v>0</v>
      </c>
      <c r="G125" s="18" t="str">
        <f>IF(F125="Yes",1,IF(F125="No",0,"'"))</f>
        <v>'</v>
      </c>
      <c r="H125" s="430"/>
    </row>
    <row r="126" spans="1:10">
      <c r="A126" s="118" t="s">
        <v>6217</v>
      </c>
      <c r="B126" s="37" t="str">
        <f>Language!A1277</f>
        <v>Is the SOP readily available** to bench staff?</v>
      </c>
      <c r="C126" s="27"/>
      <c r="F126" s="29">
        <f t="shared" si="28"/>
        <v>0</v>
      </c>
      <c r="G126" s="18" t="str">
        <f t="shared" ref="G126:G129" si="29">IF(F126="Yes",1,IF(F126="No",0,"'"))</f>
        <v>'</v>
      </c>
      <c r="H126" s="430"/>
    </row>
    <row r="127" spans="1:10" ht="27.6" customHeight="1">
      <c r="A127" s="118" t="s">
        <v>6218</v>
      </c>
      <c r="B127" s="37" t="str">
        <f>Language!A1278</f>
        <v>Does the SOP define QC organisms, QC frequency, and expected QC results?</v>
      </c>
      <c r="C127" s="27"/>
      <c r="F127" s="29">
        <f t="shared" si="28"/>
        <v>0</v>
      </c>
      <c r="G127" s="18" t="str">
        <f t="shared" si="29"/>
        <v>'</v>
      </c>
      <c r="H127" s="430"/>
    </row>
    <row r="128" spans="1:10">
      <c r="A128" s="118" t="s">
        <v>6219</v>
      </c>
      <c r="B128" s="37" t="str">
        <f>Language!A1279</f>
        <v>Does the SOP provide stepwise instructions for inoculation and incubation?</v>
      </c>
      <c r="C128" s="27"/>
      <c r="F128" s="29">
        <f t="shared" si="28"/>
        <v>0</v>
      </c>
      <c r="G128" s="18" t="str">
        <f t="shared" si="29"/>
        <v>'</v>
      </c>
      <c r="H128" s="430"/>
    </row>
    <row r="129" spans="1:10" ht="16.2" thickBot="1">
      <c r="A129" s="118" t="s">
        <v>6220</v>
      </c>
      <c r="B129" s="37" t="str">
        <f>Language!A1280</f>
        <v>Does the SOP provide stepwise instructions for reading and interpretation?</v>
      </c>
      <c r="C129" s="27"/>
      <c r="F129" s="29">
        <f t="shared" si="28"/>
        <v>0</v>
      </c>
      <c r="G129" s="18" t="str">
        <f t="shared" si="29"/>
        <v>'</v>
      </c>
      <c r="H129" s="430"/>
    </row>
    <row r="130" spans="1:10" ht="16.2" thickBot="1">
      <c r="A130" s="10"/>
      <c r="B130" s="45" t="str">
        <f>Language!A1284</f>
        <v>Urease</v>
      </c>
      <c r="C130" s="199" t="str">
        <f>IF(C131="NO","NA",IF(COUNTBLANK(C132:C136)=5,"???",IF(COUNT(G132:G136)=0,"NA",AVERAGE(G132:G136))))</f>
        <v>???</v>
      </c>
      <c r="H130" s="427"/>
    </row>
    <row r="131" spans="1:10" ht="27.6" customHeight="1">
      <c r="A131" s="118" t="s">
        <v>6221</v>
      </c>
      <c r="B131" s="37" t="str">
        <f>Language!A1246</f>
        <v>Is this reagent used to test patient isolates? (If No, select NA for the remaining questions about this reagent)</v>
      </c>
      <c r="C131" s="27"/>
      <c r="F131" s="29">
        <f t="shared" ref="F131:F136" si="30">C131</f>
        <v>0</v>
      </c>
      <c r="G131" s="18"/>
      <c r="H131" s="430"/>
      <c r="J131" s="242"/>
    </row>
    <row r="132" spans="1:10" ht="27.6" customHeight="1">
      <c r="A132" s="118" t="s">
        <v>6222</v>
      </c>
      <c r="B132" s="37" t="str">
        <f>Language!A1276</f>
        <v>Has an up-to-date SOP been fully implemented?* (If the reagent is in use but there is no SOP, answer "no" to all remaining questions about this reagent)</v>
      </c>
      <c r="C132" s="27"/>
      <c r="F132" s="29">
        <f t="shared" si="30"/>
        <v>0</v>
      </c>
      <c r="G132" s="18" t="str">
        <f>IF(F132="Yes",1,IF(F132="No",0,"'"))</f>
        <v>'</v>
      </c>
      <c r="H132" s="430"/>
    </row>
    <row r="133" spans="1:10">
      <c r="A133" s="118" t="s">
        <v>6223</v>
      </c>
      <c r="B133" s="37" t="str">
        <f>Language!A1277</f>
        <v>Is the SOP readily available** to bench staff?</v>
      </c>
      <c r="C133" s="27"/>
      <c r="F133" s="29">
        <f t="shared" si="30"/>
        <v>0</v>
      </c>
      <c r="G133" s="18" t="str">
        <f t="shared" ref="G133:G136" si="31">IF(F133="Yes",1,IF(F133="No",0,"'"))</f>
        <v>'</v>
      </c>
      <c r="H133" s="430"/>
    </row>
    <row r="134" spans="1:10" ht="27.6" customHeight="1">
      <c r="A134" s="118" t="s">
        <v>6224</v>
      </c>
      <c r="B134" s="37" t="str">
        <f>Language!A1278</f>
        <v>Does the SOP define QC organisms, QC frequency, and expected QC results?</v>
      </c>
      <c r="C134" s="27"/>
      <c r="F134" s="29">
        <f t="shared" si="30"/>
        <v>0</v>
      </c>
      <c r="G134" s="18" t="str">
        <f t="shared" si="31"/>
        <v>'</v>
      </c>
      <c r="H134" s="430"/>
    </row>
    <row r="135" spans="1:10">
      <c r="A135" s="118" t="s">
        <v>6225</v>
      </c>
      <c r="B135" s="37" t="str">
        <f>Language!A1279</f>
        <v>Does the SOP provide stepwise instructions for inoculation and incubation?</v>
      </c>
      <c r="C135" s="27"/>
      <c r="F135" s="29">
        <f t="shared" si="30"/>
        <v>0</v>
      </c>
      <c r="G135" s="18" t="str">
        <f t="shared" si="31"/>
        <v>'</v>
      </c>
      <c r="H135" s="430"/>
    </row>
    <row r="136" spans="1:10" ht="16.2" thickBot="1">
      <c r="A136" s="118" t="s">
        <v>6226</v>
      </c>
      <c r="B136" s="37" t="str">
        <f>Language!A1280</f>
        <v>Does the SOP provide stepwise instructions for reading and interpretation?</v>
      </c>
      <c r="C136" s="27"/>
      <c r="F136" s="29">
        <f t="shared" si="30"/>
        <v>0</v>
      </c>
      <c r="G136" s="18" t="str">
        <f t="shared" si="31"/>
        <v>'</v>
      </c>
      <c r="H136" s="430"/>
    </row>
    <row r="137" spans="1:10" ht="16.2" thickBot="1">
      <c r="A137" s="10"/>
      <c r="B137" s="45" t="str">
        <f>Language!A1285</f>
        <v>Motility</v>
      </c>
      <c r="C137" s="199" t="str">
        <f>IF(C138="NO","NA",IF(COUNTBLANK(C139:C143)=5,"???",IF(COUNT(G139:G143)=0,"NA",AVERAGE(G139:G143))))</f>
        <v>???</v>
      </c>
      <c r="H137" s="427"/>
    </row>
    <row r="138" spans="1:10" ht="27.6" customHeight="1">
      <c r="A138" s="118" t="s">
        <v>6227</v>
      </c>
      <c r="B138" s="37" t="str">
        <f>Language!A1246</f>
        <v>Is this reagent used to test patient isolates? (If No, select NA for the remaining questions about this reagent)</v>
      </c>
      <c r="C138" s="27"/>
      <c r="F138" s="29">
        <f t="shared" ref="F138:F143" si="32">C138</f>
        <v>0</v>
      </c>
      <c r="G138" s="18"/>
      <c r="H138" s="430"/>
      <c r="J138" s="242"/>
    </row>
    <row r="139" spans="1:10" ht="27.6" customHeight="1">
      <c r="A139" s="118" t="s">
        <v>6228</v>
      </c>
      <c r="B139" s="37" t="str">
        <f>Language!A1276</f>
        <v>Has an up-to-date SOP been fully implemented?* (If the reagent is in use but there is no SOP, answer "no" to all remaining questions about this reagent)</v>
      </c>
      <c r="C139" s="27"/>
      <c r="F139" s="29">
        <f t="shared" si="32"/>
        <v>0</v>
      </c>
      <c r="G139" s="18" t="str">
        <f>IF(F139="Yes",1,IF(F139="No",0,"'"))</f>
        <v>'</v>
      </c>
      <c r="H139" s="430"/>
    </row>
    <row r="140" spans="1:10">
      <c r="A140" s="118" t="s">
        <v>6229</v>
      </c>
      <c r="B140" s="37" t="str">
        <f>Language!A1277</f>
        <v>Is the SOP readily available** to bench staff?</v>
      </c>
      <c r="C140" s="27"/>
      <c r="F140" s="29">
        <f t="shared" si="32"/>
        <v>0</v>
      </c>
      <c r="G140" s="18" t="str">
        <f t="shared" ref="G140:G143" si="33">IF(F140="Yes",1,IF(F140="No",0,"'"))</f>
        <v>'</v>
      </c>
      <c r="H140" s="430"/>
    </row>
    <row r="141" spans="1:10" ht="27.6" customHeight="1">
      <c r="A141" s="118" t="s">
        <v>6230</v>
      </c>
      <c r="B141" s="37" t="str">
        <f>Language!A1278</f>
        <v>Does the SOP define QC organisms, QC frequency, and expected QC results?</v>
      </c>
      <c r="C141" s="27"/>
      <c r="F141" s="29">
        <f t="shared" si="32"/>
        <v>0</v>
      </c>
      <c r="G141" s="18" t="str">
        <f t="shared" si="33"/>
        <v>'</v>
      </c>
      <c r="H141" s="430"/>
    </row>
    <row r="142" spans="1:10">
      <c r="A142" s="118" t="s">
        <v>6231</v>
      </c>
      <c r="B142" s="37" t="str">
        <f>Language!A1279</f>
        <v>Does the SOP provide stepwise instructions for inoculation and incubation?</v>
      </c>
      <c r="C142" s="27"/>
      <c r="F142" s="29">
        <f t="shared" si="32"/>
        <v>0</v>
      </c>
      <c r="G142" s="18" t="str">
        <f t="shared" si="33"/>
        <v>'</v>
      </c>
      <c r="H142" s="430"/>
    </row>
    <row r="143" spans="1:10" ht="16.2" thickBot="1">
      <c r="A143" s="118" t="s">
        <v>6232</v>
      </c>
      <c r="B143" s="37" t="str">
        <f>Language!A1280</f>
        <v>Does the SOP provide stepwise instructions for reading and interpretation?</v>
      </c>
      <c r="C143" s="27"/>
      <c r="F143" s="29">
        <f t="shared" si="32"/>
        <v>0</v>
      </c>
      <c r="G143" s="18" t="str">
        <f t="shared" si="33"/>
        <v>'</v>
      </c>
      <c r="H143" s="430"/>
    </row>
    <row r="144" spans="1:10" ht="16.2" thickBot="1">
      <c r="A144" s="10"/>
      <c r="B144" s="45" t="str">
        <f>Language!A1286</f>
        <v>Lysine Iron Agar (LIA) or Lysine Decarboxylase (LDC)</v>
      </c>
      <c r="C144" s="199" t="str">
        <f>IF(F145="No","NA",IF(COUNTBLANK(C146:C150)=5,"???",IF(COUNT(G146:G150)=0,"NA",AVERAGE(G146:G150))))</f>
        <v>???</v>
      </c>
      <c r="H144" s="427"/>
    </row>
    <row r="145" spans="1:10" ht="27.6" customHeight="1">
      <c r="A145" s="118" t="s">
        <v>6233</v>
      </c>
      <c r="B145" s="37" t="str">
        <f>Language!A1246</f>
        <v>Is this reagent used to test patient isolates? (If No, select NA for the remaining questions about this reagent)</v>
      </c>
      <c r="C145" s="27"/>
      <c r="F145" s="29">
        <f t="shared" ref="F145:F150" si="34">C145</f>
        <v>0</v>
      </c>
      <c r="G145" s="18"/>
      <c r="H145" s="430"/>
      <c r="J145" s="242"/>
    </row>
    <row r="146" spans="1:10" ht="27.6" customHeight="1">
      <c r="A146" s="118" t="s">
        <v>6234</v>
      </c>
      <c r="B146" s="37" t="str">
        <f>Language!A1276</f>
        <v>Has an up-to-date SOP been fully implemented?* (If the reagent is in use but there is no SOP, answer "no" to all remaining questions about this reagent)</v>
      </c>
      <c r="C146" s="27"/>
      <c r="F146" s="29">
        <f t="shared" si="34"/>
        <v>0</v>
      </c>
      <c r="G146" s="18" t="str">
        <f>IF(F146="Yes",1,IF(F146="No",0,"'"))</f>
        <v>'</v>
      </c>
      <c r="H146" s="430"/>
    </row>
    <row r="147" spans="1:10">
      <c r="A147" s="118" t="s">
        <v>6235</v>
      </c>
      <c r="B147" s="37" t="str">
        <f>Language!A1277</f>
        <v>Is the SOP readily available** to bench staff?</v>
      </c>
      <c r="C147" s="27"/>
      <c r="F147" s="29">
        <f t="shared" si="34"/>
        <v>0</v>
      </c>
      <c r="G147" s="18" t="str">
        <f t="shared" ref="G147:G150" si="35">IF(F147="Yes",1,IF(F147="No",0,"'"))</f>
        <v>'</v>
      </c>
      <c r="H147" s="430"/>
    </row>
    <row r="148" spans="1:10" ht="27.6" customHeight="1">
      <c r="A148" s="118" t="s">
        <v>6236</v>
      </c>
      <c r="B148" s="37" t="str">
        <f>Language!A1278</f>
        <v>Does the SOP define QC organisms, QC frequency, and expected QC results?</v>
      </c>
      <c r="C148" s="27"/>
      <c r="F148" s="29">
        <f t="shared" si="34"/>
        <v>0</v>
      </c>
      <c r="G148" s="18" t="str">
        <f t="shared" si="35"/>
        <v>'</v>
      </c>
      <c r="H148" s="430"/>
    </row>
    <row r="149" spans="1:10">
      <c r="A149" s="118" t="s">
        <v>6237</v>
      </c>
      <c r="B149" s="37" t="str">
        <f>Language!A1279</f>
        <v>Does the SOP provide stepwise instructions for inoculation and incubation?</v>
      </c>
      <c r="C149" s="27"/>
      <c r="F149" s="29">
        <f t="shared" si="34"/>
        <v>0</v>
      </c>
      <c r="G149" s="18" t="str">
        <f t="shared" si="35"/>
        <v>'</v>
      </c>
      <c r="H149" s="430"/>
    </row>
    <row r="150" spans="1:10">
      <c r="A150" s="118" t="s">
        <v>6238</v>
      </c>
      <c r="B150" s="37" t="str">
        <f>Language!A1280</f>
        <v>Does the SOP provide stepwise instructions for reading and interpretation?</v>
      </c>
      <c r="C150" s="27"/>
      <c r="F150" s="29">
        <f t="shared" si="34"/>
        <v>0</v>
      </c>
      <c r="G150" s="18" t="str">
        <f t="shared" si="35"/>
        <v>'</v>
      </c>
      <c r="H150" s="430"/>
    </row>
    <row r="151" spans="1:10" ht="16.2" thickBot="1">
      <c r="A151" s="10"/>
      <c r="B151" s="20"/>
      <c r="C151" s="20"/>
      <c r="F151" s="29"/>
      <c r="G151" s="18"/>
      <c r="H151" s="169"/>
    </row>
    <row r="152" spans="1:10" ht="16.2" thickBot="1">
      <c r="A152" s="160"/>
      <c r="B152" s="77" t="str">
        <f>Language!A1287</f>
        <v>SHIGELLA/SALMONELLA SEROLOGY</v>
      </c>
      <c r="C152" s="72" t="str">
        <f>IF((OR(C153="???",C160="???")),"???",IF(COUNT(G154:G166)=0,"NA",AVERAGE(G154:G166)))</f>
        <v>???</v>
      </c>
      <c r="F152" s="29"/>
      <c r="G152" s="18"/>
      <c r="H152" s="427"/>
    </row>
    <row r="153" spans="1:10" ht="16.2" thickBot="1">
      <c r="A153" s="10"/>
      <c r="B153" s="45" t="str">
        <f>Language!A1288</f>
        <v>Shigella serology</v>
      </c>
      <c r="C153" s="199" t="str">
        <f>IF(C154="NO","NA",IF(COUNTBLANK(C155:C159)=5,"???",IF(COUNT(G155:G159)=0,"NA",AVERAGE(G155:G159))))</f>
        <v>???</v>
      </c>
      <c r="H153" s="427"/>
      <c r="I153" s="510"/>
    </row>
    <row r="154" spans="1:10" ht="27.6" customHeight="1">
      <c r="A154" s="118" t="s">
        <v>6239</v>
      </c>
      <c r="B154" s="37" t="str">
        <f>Language!A1246</f>
        <v>Is this reagent used to test patient isolates? (If No, select NA for the remaining questions about this reagent)</v>
      </c>
      <c r="C154" s="27"/>
      <c r="F154" s="29">
        <f t="shared" ref="F154:F159" si="36">C154</f>
        <v>0</v>
      </c>
      <c r="G154" s="18"/>
      <c r="H154" s="430"/>
      <c r="J154" s="242"/>
    </row>
    <row r="155" spans="1:10" ht="27.6" customHeight="1">
      <c r="A155" s="118" t="s">
        <v>6240</v>
      </c>
      <c r="B155" s="37" t="str">
        <f>Language!A1247</f>
        <v>Has an up-to-date SOP been fully implemented?* (If the reagent is in use but there is no SOP, answer "no" to all remaining questions about this reagent)</v>
      </c>
      <c r="C155" s="27"/>
      <c r="F155" s="29">
        <f t="shared" si="36"/>
        <v>0</v>
      </c>
      <c r="G155" s="18" t="str">
        <f>IF(F155="Yes",1,IF(F155="No",0,"'"))</f>
        <v>'</v>
      </c>
      <c r="H155" s="430"/>
    </row>
    <row r="156" spans="1:10">
      <c r="A156" s="118" t="s">
        <v>6241</v>
      </c>
      <c r="B156" s="37" t="str">
        <f>Language!A1248</f>
        <v>Is the SOP readily available** to bench staff?</v>
      </c>
      <c r="C156" s="27"/>
      <c r="F156" s="29">
        <f t="shared" si="36"/>
        <v>0</v>
      </c>
      <c r="G156" s="18" t="str">
        <f t="shared" ref="G156:G159" si="37">IF(F156="Yes",1,IF(F156="No",0,"'"))</f>
        <v>'</v>
      </c>
      <c r="H156" s="430"/>
    </row>
    <row r="157" spans="1:10" ht="27.6" customHeight="1">
      <c r="A157" s="118" t="s">
        <v>6242</v>
      </c>
      <c r="B157" s="37" t="str">
        <f>Language!A1249</f>
        <v>Does the SOP define QC organisms, QC frequency, and expected QC results?</v>
      </c>
      <c r="C157" s="27"/>
      <c r="F157" s="29">
        <f t="shared" si="36"/>
        <v>0</v>
      </c>
      <c r="G157" s="18" t="str">
        <f t="shared" si="37"/>
        <v>'</v>
      </c>
      <c r="H157" s="430"/>
    </row>
    <row r="158" spans="1:10">
      <c r="A158" s="118" t="s">
        <v>6243</v>
      </c>
      <c r="B158" s="37" t="str">
        <f>Language!A1250</f>
        <v>Does the SOP provide stepwise instructions for how to perform the test correctly?</v>
      </c>
      <c r="C158" s="27"/>
      <c r="F158" s="29">
        <f t="shared" si="36"/>
        <v>0</v>
      </c>
      <c r="G158" s="18" t="str">
        <f t="shared" si="37"/>
        <v>'</v>
      </c>
      <c r="H158" s="430"/>
    </row>
    <row r="159" spans="1:10" ht="16.2" thickBot="1">
      <c r="A159" s="118" t="s">
        <v>6244</v>
      </c>
      <c r="B159" s="37" t="str">
        <f>Language!A1251</f>
        <v>Does the SOP provide stepwise instructions for interpreting the test result correctly?</v>
      </c>
      <c r="C159" s="27"/>
      <c r="F159" s="29">
        <f t="shared" si="36"/>
        <v>0</v>
      </c>
      <c r="G159" s="18" t="str">
        <f t="shared" si="37"/>
        <v>'</v>
      </c>
      <c r="H159" s="430"/>
    </row>
    <row r="160" spans="1:10" ht="16.2" thickBot="1">
      <c r="A160" s="10"/>
      <c r="B160" s="45" t="str">
        <f>Language!A1289</f>
        <v>Salmonella serology</v>
      </c>
      <c r="C160" s="199" t="str">
        <f>IF(C161="NO","NA",IF(COUNTBLANK(C162:C166)=5,"???",IF(COUNT(G162:G166)=0,"NA",AVERAGE(G162:G166))))</f>
        <v>???</v>
      </c>
      <c r="H160" s="427"/>
    </row>
    <row r="161" spans="1:10" ht="27.6" customHeight="1">
      <c r="A161" s="118" t="s">
        <v>6245</v>
      </c>
      <c r="B161" s="37" t="str">
        <f>Language!A1246</f>
        <v>Is this reagent used to test patient isolates? (If No, select NA for the remaining questions about this reagent)</v>
      </c>
      <c r="C161" s="27"/>
      <c r="F161" s="29">
        <f t="shared" ref="F161:F166" si="38">C161</f>
        <v>0</v>
      </c>
      <c r="G161" s="18"/>
      <c r="H161" s="430"/>
      <c r="J161" s="242"/>
    </row>
    <row r="162" spans="1:10" ht="27.6" customHeight="1">
      <c r="A162" s="118" t="s">
        <v>6246</v>
      </c>
      <c r="B162" s="37" t="str">
        <f>Language!A1247</f>
        <v>Has an up-to-date SOP been fully implemented?* (If the reagent is in use but there is no SOP, answer "no" to all remaining questions about this reagent)</v>
      </c>
      <c r="C162" s="27"/>
      <c r="F162" s="29">
        <f t="shared" si="38"/>
        <v>0</v>
      </c>
      <c r="G162" s="18" t="str">
        <f>IF(F162="Yes",1,IF(F162="No",0,"'"))</f>
        <v>'</v>
      </c>
      <c r="H162" s="430"/>
    </row>
    <row r="163" spans="1:10">
      <c r="A163" s="118" t="s">
        <v>6247</v>
      </c>
      <c r="B163" s="37" t="str">
        <f>Language!A1248</f>
        <v>Is the SOP readily available** to bench staff?</v>
      </c>
      <c r="C163" s="27"/>
      <c r="F163" s="29">
        <f t="shared" si="38"/>
        <v>0</v>
      </c>
      <c r="G163" s="18" t="str">
        <f t="shared" ref="G163:G166" si="39">IF(F163="Yes",1,IF(F163="No",0,"'"))</f>
        <v>'</v>
      </c>
      <c r="H163" s="430"/>
    </row>
    <row r="164" spans="1:10" ht="27.6" customHeight="1">
      <c r="A164" s="118" t="s">
        <v>6248</v>
      </c>
      <c r="B164" s="37" t="str">
        <f>Language!A1249</f>
        <v>Does the SOP define QC organisms, QC frequency, and expected QC results?</v>
      </c>
      <c r="C164" s="27"/>
      <c r="F164" s="29">
        <f t="shared" si="38"/>
        <v>0</v>
      </c>
      <c r="G164" s="18" t="str">
        <f t="shared" si="39"/>
        <v>'</v>
      </c>
      <c r="H164" s="430"/>
    </row>
    <row r="165" spans="1:10">
      <c r="A165" s="118" t="s">
        <v>6249</v>
      </c>
      <c r="B165" s="37" t="str">
        <f>Language!A1250</f>
        <v>Does the SOP provide stepwise instructions for how to perform the test correctly?</v>
      </c>
      <c r="C165" s="27"/>
      <c r="F165" s="29">
        <f t="shared" si="38"/>
        <v>0</v>
      </c>
      <c r="G165" s="18" t="str">
        <f t="shared" si="39"/>
        <v>'</v>
      </c>
      <c r="H165" s="430"/>
    </row>
    <row r="166" spans="1:10">
      <c r="A166" s="118" t="s">
        <v>6250</v>
      </c>
      <c r="B166" s="37" t="str">
        <f>Language!A1251</f>
        <v>Does the SOP provide stepwise instructions for interpreting the test result correctly?</v>
      </c>
      <c r="C166" s="27"/>
      <c r="F166" s="29">
        <f t="shared" si="38"/>
        <v>0</v>
      </c>
      <c r="G166" s="18" t="str">
        <f t="shared" si="39"/>
        <v>'</v>
      </c>
      <c r="H166" s="430"/>
    </row>
    <row r="167" spans="1:10" ht="16.2" thickBot="1">
      <c r="A167" s="10"/>
    </row>
    <row r="168" spans="1:10" ht="16.2" thickBot="1">
      <c r="A168" s="160"/>
      <c r="B168" s="77" t="str">
        <f>Language!A1290</f>
        <v>ACINETOBACTER SPP, CONVENTIONAL ID METHODS</v>
      </c>
      <c r="C168" s="72" t="str">
        <f>IF((OR(C169="???",C176="???",C183="???",C190="???",C197="???")),"???",IF(COUNT(G170:G203)=0,"NA",AVERAGE(G170:G203)))</f>
        <v>???</v>
      </c>
      <c r="H168" s="427"/>
    </row>
    <row r="169" spans="1:10" ht="16.2" thickBot="1">
      <c r="A169" s="10"/>
      <c r="B169" s="45" t="str">
        <f>Language!A1291</f>
        <v>Glucose Oxidative-Fermentative (OF) test</v>
      </c>
      <c r="C169" s="199" t="str">
        <f>IF(C170="NO","NA",IF(COUNTBLANK(C171:C175)=5,"???",IF(COUNT(G171:G175)=0,"NA",AVERAGE(G171:G175))))</f>
        <v>???</v>
      </c>
      <c r="H169" s="427"/>
    </row>
    <row r="170" spans="1:10" ht="27.6" customHeight="1">
      <c r="A170" s="118" t="s">
        <v>6251</v>
      </c>
      <c r="B170" s="37" t="str">
        <f>Language!A1246</f>
        <v>Is this reagent used to test patient isolates? (If No, select NA for the remaining questions about this reagent)</v>
      </c>
      <c r="C170" s="27"/>
      <c r="F170" s="29">
        <f t="shared" ref="F170:F175" si="40">C170</f>
        <v>0</v>
      </c>
      <c r="G170" s="18"/>
      <c r="H170" s="430"/>
      <c r="I170" s="510"/>
      <c r="J170" s="242"/>
    </row>
    <row r="171" spans="1:10" ht="27.6" customHeight="1">
      <c r="A171" s="118" t="s">
        <v>6252</v>
      </c>
      <c r="B171" s="37" t="str">
        <f>Language!A1276</f>
        <v>Has an up-to-date SOP been fully implemented?* (If the reagent is in use but there is no SOP, answer "no" to all remaining questions about this reagent)</v>
      </c>
      <c r="C171" s="27"/>
      <c r="F171" s="29">
        <f t="shared" si="40"/>
        <v>0</v>
      </c>
      <c r="G171" s="18" t="str">
        <f>IF(F171="Yes",1,IF(F171="No",0,"'"))</f>
        <v>'</v>
      </c>
      <c r="H171" s="430"/>
    </row>
    <row r="172" spans="1:10">
      <c r="A172" s="118" t="s">
        <v>6253</v>
      </c>
      <c r="B172" s="37" t="str">
        <f>Language!A1277</f>
        <v>Is the SOP readily available** to bench staff?</v>
      </c>
      <c r="C172" s="27"/>
      <c r="F172" s="29">
        <f t="shared" si="40"/>
        <v>0</v>
      </c>
      <c r="G172" s="18" t="str">
        <f t="shared" ref="G172:G175" si="41">IF(F172="Yes",1,IF(F172="No",0,"'"))</f>
        <v>'</v>
      </c>
      <c r="H172" s="430"/>
    </row>
    <row r="173" spans="1:10" ht="27.6" customHeight="1">
      <c r="A173" s="118" t="s">
        <v>6254</v>
      </c>
      <c r="B173" s="37" t="str">
        <f>Language!A1278</f>
        <v>Does the SOP define QC organisms, QC frequency, and expected QC results?</v>
      </c>
      <c r="C173" s="27"/>
      <c r="F173" s="29">
        <f t="shared" si="40"/>
        <v>0</v>
      </c>
      <c r="G173" s="18" t="str">
        <f t="shared" si="41"/>
        <v>'</v>
      </c>
      <c r="H173" s="430"/>
    </row>
    <row r="174" spans="1:10">
      <c r="A174" s="118" t="s">
        <v>6255</v>
      </c>
      <c r="B174" s="37" t="str">
        <f>Language!A1279</f>
        <v>Does the SOP provide stepwise instructions for inoculation and incubation?</v>
      </c>
      <c r="C174" s="27"/>
      <c r="F174" s="29">
        <f t="shared" si="40"/>
        <v>0</v>
      </c>
      <c r="G174" s="18" t="str">
        <f t="shared" si="41"/>
        <v>'</v>
      </c>
      <c r="H174" s="430"/>
    </row>
    <row r="175" spans="1:10" ht="16.2" thickBot="1">
      <c r="A175" s="118" t="s">
        <v>6256</v>
      </c>
      <c r="B175" s="37" t="str">
        <f>Language!A1280</f>
        <v>Does the SOP provide stepwise instructions for reading and interpretation?</v>
      </c>
      <c r="C175" s="27"/>
      <c r="F175" s="29">
        <f t="shared" si="40"/>
        <v>0</v>
      </c>
      <c r="G175" s="18" t="str">
        <f t="shared" si="41"/>
        <v>'</v>
      </c>
      <c r="H175" s="430"/>
    </row>
    <row r="176" spans="1:10" ht="16.2" thickBot="1">
      <c r="A176" s="10"/>
      <c r="B176" s="45" t="str">
        <f>Language!A1292</f>
        <v>Nitrate reduction</v>
      </c>
      <c r="C176" s="199" t="str">
        <f>IF(C177="NO","NA",IF(COUNTBLANK(C178:C182)=5,"???",IF(COUNT(G178:G182)=0,"NA",AVERAGE(G178:G182))))</f>
        <v>???</v>
      </c>
      <c r="H176" s="427"/>
    </row>
    <row r="177" spans="1:10" ht="27.6" customHeight="1">
      <c r="A177" s="118" t="s">
        <v>6257</v>
      </c>
      <c r="B177" s="37" t="str">
        <f>Language!A1246</f>
        <v>Is this reagent used to test patient isolates? (If No, select NA for the remaining questions about this reagent)</v>
      </c>
      <c r="C177" s="27"/>
      <c r="F177" s="29">
        <f t="shared" ref="F177:F182" si="42">C177</f>
        <v>0</v>
      </c>
      <c r="G177" s="18"/>
      <c r="H177" s="430"/>
      <c r="J177" s="242"/>
    </row>
    <row r="178" spans="1:10" ht="27.6" customHeight="1">
      <c r="A178" s="118" t="s">
        <v>6258</v>
      </c>
      <c r="B178" s="37" t="str">
        <f>Language!A1276</f>
        <v>Has an up-to-date SOP been fully implemented?* (If the reagent is in use but there is no SOP, answer "no" to all remaining questions about this reagent)</v>
      </c>
      <c r="C178" s="27"/>
      <c r="F178" s="29">
        <f t="shared" si="42"/>
        <v>0</v>
      </c>
      <c r="G178" s="18" t="str">
        <f>IF(F178="Yes",1,IF(F178="No",0,"'"))</f>
        <v>'</v>
      </c>
      <c r="H178" s="430"/>
    </row>
    <row r="179" spans="1:10">
      <c r="A179" s="118" t="s">
        <v>6259</v>
      </c>
      <c r="B179" s="37" t="str">
        <f>Language!A1277</f>
        <v>Is the SOP readily available** to bench staff?</v>
      </c>
      <c r="C179" s="27"/>
      <c r="F179" s="29">
        <f t="shared" si="42"/>
        <v>0</v>
      </c>
      <c r="G179" s="18" t="str">
        <f t="shared" ref="G179:G182" si="43">IF(F179="Yes",1,IF(F179="No",0,"'"))</f>
        <v>'</v>
      </c>
      <c r="H179" s="430"/>
    </row>
    <row r="180" spans="1:10" ht="27.6" customHeight="1">
      <c r="A180" s="118" t="s">
        <v>6260</v>
      </c>
      <c r="B180" s="37" t="str">
        <f>Language!A1278</f>
        <v>Does the SOP define QC organisms, QC frequency, and expected QC results?</v>
      </c>
      <c r="C180" s="27"/>
      <c r="F180" s="29">
        <f t="shared" si="42"/>
        <v>0</v>
      </c>
      <c r="G180" s="18" t="str">
        <f t="shared" si="43"/>
        <v>'</v>
      </c>
      <c r="H180" s="430"/>
    </row>
    <row r="181" spans="1:10">
      <c r="A181" s="118" t="s">
        <v>6261</v>
      </c>
      <c r="B181" s="37" t="str">
        <f>Language!A1279</f>
        <v>Does the SOP provide stepwise instructions for inoculation and incubation?</v>
      </c>
      <c r="C181" s="27"/>
      <c r="F181" s="29">
        <f t="shared" si="42"/>
        <v>0</v>
      </c>
      <c r="G181" s="18" t="str">
        <f t="shared" si="43"/>
        <v>'</v>
      </c>
      <c r="H181" s="430"/>
    </row>
    <row r="182" spans="1:10" ht="16.2" thickBot="1">
      <c r="A182" s="118" t="s">
        <v>6262</v>
      </c>
      <c r="B182" s="37" t="str">
        <f>Language!A1280</f>
        <v>Does the SOP provide stepwise instructions for reading and interpretation?</v>
      </c>
      <c r="C182" s="27"/>
      <c r="F182" s="29">
        <f t="shared" si="42"/>
        <v>0</v>
      </c>
      <c r="G182" s="18" t="str">
        <f t="shared" si="43"/>
        <v>'</v>
      </c>
      <c r="H182" s="430"/>
    </row>
    <row r="183" spans="1:10" ht="16.2" thickBot="1">
      <c r="A183" s="10"/>
      <c r="B183" s="45" t="str">
        <f>Language!A1293</f>
        <v>Gelatin hydrolysis</v>
      </c>
      <c r="C183" s="199" t="str">
        <f>IF(C184="NO","NA",IF(COUNTBLANK(C185:C189)=5,"???",IF(COUNT(G185:G189)=0,"NA",AVERAGE(G185:G189))))</f>
        <v>???</v>
      </c>
      <c r="H183" s="427"/>
    </row>
    <row r="184" spans="1:10" ht="27.6" customHeight="1">
      <c r="A184" s="118" t="s">
        <v>6263</v>
      </c>
      <c r="B184" s="37" t="str">
        <f>Language!A1246</f>
        <v>Is this reagent used to test patient isolates? (If No, select NA for the remaining questions about this reagent)</v>
      </c>
      <c r="C184" s="27"/>
      <c r="F184" s="29">
        <f t="shared" ref="F184:F189" si="44">C184</f>
        <v>0</v>
      </c>
      <c r="G184" s="18"/>
      <c r="H184" s="430"/>
      <c r="J184" s="242"/>
    </row>
    <row r="185" spans="1:10" ht="27.6" customHeight="1">
      <c r="A185" s="118" t="s">
        <v>6264</v>
      </c>
      <c r="B185" s="37" t="str">
        <f>Language!A1276</f>
        <v>Has an up-to-date SOP been fully implemented?* (If the reagent is in use but there is no SOP, answer "no" to all remaining questions about this reagent)</v>
      </c>
      <c r="C185" s="27"/>
      <c r="F185" s="29">
        <f t="shared" si="44"/>
        <v>0</v>
      </c>
      <c r="G185" s="18" t="str">
        <f>IF(F185="Yes",1,IF(F185="No",0,"'"))</f>
        <v>'</v>
      </c>
      <c r="H185" s="430"/>
    </row>
    <row r="186" spans="1:10">
      <c r="A186" s="118" t="s">
        <v>6265</v>
      </c>
      <c r="B186" s="37" t="str">
        <f>Language!A1277</f>
        <v>Is the SOP readily available** to bench staff?</v>
      </c>
      <c r="C186" s="27"/>
      <c r="F186" s="29">
        <f t="shared" si="44"/>
        <v>0</v>
      </c>
      <c r="G186" s="18" t="str">
        <f t="shared" ref="G186:G189" si="45">IF(F186="Yes",1,IF(F186="No",0,"'"))</f>
        <v>'</v>
      </c>
      <c r="H186" s="430"/>
    </row>
    <row r="187" spans="1:10" ht="27.6" customHeight="1">
      <c r="A187" s="118" t="s">
        <v>6266</v>
      </c>
      <c r="B187" s="37" t="str">
        <f>Language!A1278</f>
        <v>Does the SOP define QC organisms, QC frequency, and expected QC results?</v>
      </c>
      <c r="C187" s="27"/>
      <c r="F187" s="29">
        <f t="shared" si="44"/>
        <v>0</v>
      </c>
      <c r="G187" s="18" t="str">
        <f t="shared" si="45"/>
        <v>'</v>
      </c>
      <c r="H187" s="430"/>
    </row>
    <row r="188" spans="1:10">
      <c r="A188" s="118" t="s">
        <v>6267</v>
      </c>
      <c r="B188" s="37" t="str">
        <f>Language!A1279</f>
        <v>Does the SOP provide stepwise instructions for inoculation and incubation?</v>
      </c>
      <c r="C188" s="27"/>
      <c r="F188" s="29">
        <f t="shared" si="44"/>
        <v>0</v>
      </c>
      <c r="G188" s="18" t="str">
        <f t="shared" si="45"/>
        <v>'</v>
      </c>
      <c r="H188" s="430"/>
    </row>
    <row r="189" spans="1:10" ht="16.2" thickBot="1">
      <c r="A189" s="118" t="s">
        <v>6268</v>
      </c>
      <c r="B189" s="37" t="str">
        <f>Language!A1280</f>
        <v>Does the SOP provide stepwise instructions for reading and interpretation?</v>
      </c>
      <c r="C189" s="27"/>
      <c r="F189" s="29">
        <f t="shared" si="44"/>
        <v>0</v>
      </c>
      <c r="G189" s="18" t="str">
        <f t="shared" si="45"/>
        <v>'</v>
      </c>
      <c r="H189" s="430"/>
    </row>
    <row r="190" spans="1:10" ht="16.2" thickBot="1">
      <c r="A190" s="10"/>
      <c r="B190" s="45" t="str">
        <f>Language!A1294</f>
        <v>Chloramphenicol resistance (disk)</v>
      </c>
      <c r="C190" s="199" t="str">
        <f>IF(C191="NO","NA",IF(COUNTBLANK(C192:C196)=5,"???",IF(COUNT(G192:G196)=0,"NA",AVERAGE(G192:G196))))</f>
        <v>???</v>
      </c>
      <c r="H190" s="427"/>
    </row>
    <row r="191" spans="1:10" ht="27.6" customHeight="1">
      <c r="A191" s="118" t="s">
        <v>6269</v>
      </c>
      <c r="B191" s="37" t="str">
        <f>Language!A1246</f>
        <v>Is this reagent used to test patient isolates? (If No, select NA for the remaining questions about this reagent)</v>
      </c>
      <c r="C191" s="27"/>
      <c r="F191" s="29">
        <f t="shared" ref="F191:F196" si="46">C191</f>
        <v>0</v>
      </c>
      <c r="G191" s="18"/>
      <c r="H191" s="430"/>
      <c r="J191" s="242"/>
    </row>
    <row r="192" spans="1:10" ht="27.6" customHeight="1">
      <c r="A192" s="118" t="s">
        <v>6270</v>
      </c>
      <c r="B192" s="37" t="str">
        <f>Language!A1276</f>
        <v>Has an up-to-date SOP been fully implemented?* (If the reagent is in use but there is no SOP, answer "no" to all remaining questions about this reagent)</v>
      </c>
      <c r="C192" s="27"/>
      <c r="F192" s="29">
        <f t="shared" si="46"/>
        <v>0</v>
      </c>
      <c r="G192" s="18" t="str">
        <f>IF(F192="Yes",1,IF(F192="No",0,"'"))</f>
        <v>'</v>
      </c>
      <c r="H192" s="430"/>
    </row>
    <row r="193" spans="1:10">
      <c r="A193" s="118" t="s">
        <v>6271</v>
      </c>
      <c r="B193" s="37" t="str">
        <f>Language!A1277</f>
        <v>Is the SOP readily available** to bench staff?</v>
      </c>
      <c r="C193" s="27"/>
      <c r="F193" s="29">
        <f t="shared" si="46"/>
        <v>0</v>
      </c>
      <c r="G193" s="18" t="str">
        <f t="shared" ref="G193:G196" si="47">IF(F193="Yes",1,IF(F193="No",0,"'"))</f>
        <v>'</v>
      </c>
      <c r="H193" s="430"/>
    </row>
    <row r="194" spans="1:10" ht="27.6" customHeight="1">
      <c r="A194" s="118" t="s">
        <v>6272</v>
      </c>
      <c r="B194" s="37" t="str">
        <f>Language!A1278</f>
        <v>Does the SOP define QC organisms, QC frequency, and expected QC results?</v>
      </c>
      <c r="C194" s="27"/>
      <c r="F194" s="29">
        <f t="shared" si="46"/>
        <v>0</v>
      </c>
      <c r="G194" s="18" t="str">
        <f t="shared" si="47"/>
        <v>'</v>
      </c>
      <c r="H194" s="430"/>
    </row>
    <row r="195" spans="1:10">
      <c r="A195" s="118" t="s">
        <v>6273</v>
      </c>
      <c r="B195" s="37" t="str">
        <f>Language!A1279</f>
        <v>Does the SOP provide stepwise instructions for inoculation and incubation?</v>
      </c>
      <c r="C195" s="27"/>
      <c r="F195" s="29">
        <f t="shared" si="46"/>
        <v>0</v>
      </c>
      <c r="G195" s="18" t="str">
        <f t="shared" si="47"/>
        <v>'</v>
      </c>
      <c r="H195" s="430"/>
    </row>
    <row r="196" spans="1:10" ht="16.2" thickBot="1">
      <c r="A196" s="118" t="s">
        <v>6274</v>
      </c>
      <c r="B196" s="37" t="str">
        <f>Language!A1280</f>
        <v>Does the SOP provide stepwise instructions for reading and interpretation?</v>
      </c>
      <c r="C196" s="27"/>
      <c r="F196" s="29">
        <f t="shared" si="46"/>
        <v>0</v>
      </c>
      <c r="G196" s="18" t="str">
        <f t="shared" si="47"/>
        <v>'</v>
      </c>
      <c r="H196" s="430"/>
    </row>
    <row r="197" spans="1:10" ht="16.2" thickBot="1">
      <c r="A197" s="10"/>
      <c r="B197" s="45" t="str">
        <f>Language!A1295</f>
        <v>Growth at 42°C</v>
      </c>
      <c r="C197" s="199" t="str">
        <f>IF(C198="NO","NA",IF(COUNTBLANK(C199:C203)=5,"???",IF(COUNT(G199:G203)=0,"NA",AVERAGE(G199:G203))))</f>
        <v>???</v>
      </c>
      <c r="H197" s="427"/>
    </row>
    <row r="198" spans="1:10" ht="27.6" customHeight="1">
      <c r="A198" s="118" t="s">
        <v>6275</v>
      </c>
      <c r="B198" s="37" t="str">
        <f>Language!A1246</f>
        <v>Is this reagent used to test patient isolates? (If No, select NA for the remaining questions about this reagent)</v>
      </c>
      <c r="C198" s="27"/>
      <c r="F198" s="29">
        <f t="shared" ref="F198:F203" si="48">C198</f>
        <v>0</v>
      </c>
      <c r="G198" s="18"/>
      <c r="H198" s="430"/>
      <c r="J198" s="242"/>
    </row>
    <row r="199" spans="1:10" ht="27.6" customHeight="1">
      <c r="A199" s="118" t="s">
        <v>6276</v>
      </c>
      <c r="B199" s="37" t="str">
        <f>Language!A1276</f>
        <v>Has an up-to-date SOP been fully implemented?* (If the reagent is in use but there is no SOP, answer "no" to all remaining questions about this reagent)</v>
      </c>
      <c r="C199" s="27"/>
      <c r="F199" s="29">
        <f t="shared" si="48"/>
        <v>0</v>
      </c>
      <c r="G199" s="18" t="str">
        <f>IF(F199="Yes",1,IF(F199="No",0,"'"))</f>
        <v>'</v>
      </c>
      <c r="H199" s="430"/>
    </row>
    <row r="200" spans="1:10">
      <c r="A200" s="118" t="s">
        <v>6277</v>
      </c>
      <c r="B200" s="37" t="str">
        <f>Language!A1277</f>
        <v>Is the SOP readily available** to bench staff?</v>
      </c>
      <c r="C200" s="27"/>
      <c r="F200" s="29">
        <f t="shared" si="48"/>
        <v>0</v>
      </c>
      <c r="G200" s="18" t="str">
        <f t="shared" ref="G200:G203" si="49">IF(F200="Yes",1,IF(F200="No",0,"'"))</f>
        <v>'</v>
      </c>
      <c r="H200" s="430"/>
    </row>
    <row r="201" spans="1:10" ht="27.6" customHeight="1">
      <c r="A201" s="118" t="s">
        <v>6278</v>
      </c>
      <c r="B201" s="37" t="str">
        <f>Language!A1278</f>
        <v>Does the SOP define QC organisms, QC frequency, and expected QC results?</v>
      </c>
      <c r="C201" s="27"/>
      <c r="F201" s="29">
        <f t="shared" si="48"/>
        <v>0</v>
      </c>
      <c r="G201" s="18" t="str">
        <f t="shared" si="49"/>
        <v>'</v>
      </c>
      <c r="H201" s="430"/>
    </row>
    <row r="202" spans="1:10">
      <c r="A202" s="118" t="s">
        <v>6279</v>
      </c>
      <c r="B202" s="37" t="str">
        <f>Language!A1279</f>
        <v>Does the SOP provide stepwise instructions for inoculation and incubation?</v>
      </c>
      <c r="C202" s="27"/>
      <c r="F202" s="29">
        <f t="shared" si="48"/>
        <v>0</v>
      </c>
      <c r="G202" s="18" t="str">
        <f t="shared" si="49"/>
        <v>'</v>
      </c>
      <c r="H202" s="430"/>
    </row>
    <row r="203" spans="1:10">
      <c r="A203" s="118" t="s">
        <v>6280</v>
      </c>
      <c r="B203" s="37" t="str">
        <f>Language!A1280</f>
        <v>Does the SOP provide stepwise instructions for reading and interpretation?</v>
      </c>
      <c r="C203" s="27"/>
      <c r="F203" s="29">
        <f t="shared" si="48"/>
        <v>0</v>
      </c>
      <c r="G203" s="18" t="str">
        <f t="shared" si="49"/>
        <v>'</v>
      </c>
      <c r="H203" s="430"/>
    </row>
    <row r="204" spans="1:10" ht="16.2" thickBot="1">
      <c r="A204" s="10"/>
    </row>
    <row r="205" spans="1:10" ht="16.2" thickBot="1">
      <c r="A205" s="160"/>
      <c r="B205" s="49" t="str">
        <f>Language!A1296</f>
        <v>KIT-BASED ID METHODS</v>
      </c>
      <c r="C205" s="44" t="str">
        <f>IF(COUNTBLANK(C206:C218)=13,"???",IF(COUNT(G206:G218)=0,"NA",AVERAGE(G206:G218)))</f>
        <v>???</v>
      </c>
      <c r="H205" s="427"/>
    </row>
    <row r="206" spans="1:10" ht="41.55" customHeight="1">
      <c r="A206" s="117"/>
      <c r="B206" s="8" t="str">
        <f>Language!A1297</f>
        <v xml:space="preserve"> If the lab uses rapid biochemical kits for organism ID (e.g., API, Liofilchem, RapID), does the SOP for each kit contain the following information? (If kits are not used, select "NA", if kits are used but there is no SOP, select "No")</v>
      </c>
      <c r="H206" s="13"/>
    </row>
    <row r="207" spans="1:10">
      <c r="A207" s="10"/>
      <c r="B207" s="464" t="str">
        <f>Language!A1303</f>
        <v>1: Yes - 2: Partial - 3: No - NA: lab does not use rapid biochemical kits</v>
      </c>
      <c r="C207" s="60"/>
    </row>
    <row r="208" spans="1:10">
      <c r="A208" s="118" t="s">
        <v>6281</v>
      </c>
      <c r="B208" s="37" t="str">
        <f>Language!A1298</f>
        <v>Defined QC organisms, QC frequency, and expected QC results</v>
      </c>
      <c r="C208" s="46"/>
      <c r="F208" s="29">
        <f>C208</f>
        <v>0</v>
      </c>
      <c r="G208" s="18" t="str">
        <f>IF(F208=1,1,IF(F208=2,0.5,IF(F208=3,0,"'")))</f>
        <v>'</v>
      </c>
      <c r="H208" s="430"/>
    </row>
    <row r="209" spans="1:9" ht="27.6" customHeight="1">
      <c r="A209" s="118" t="s">
        <v>6282</v>
      </c>
      <c r="B209" s="37" t="str">
        <f>Language!A1299</f>
        <v>Stepwise instructions for preparing the inoculum in the correct liquid medium and at the correct density</v>
      </c>
      <c r="C209" s="46"/>
      <c r="F209" s="29">
        <f>C209</f>
        <v>0</v>
      </c>
      <c r="G209" s="18" t="str">
        <f t="shared" ref="G209:G212" si="50">IF(F209=1,1,IF(F209=2,0.5,IF(F209=3,0,"'")))</f>
        <v>'</v>
      </c>
      <c r="H209" s="430"/>
    </row>
    <row r="210" spans="1:9">
      <c r="A210" s="118" t="s">
        <v>6283</v>
      </c>
      <c r="B210" s="37" t="str">
        <f>Language!A1300</f>
        <v>Stepwise instructions on how to inoculate and incubate the device</v>
      </c>
      <c r="C210" s="46"/>
      <c r="F210" s="29">
        <f>C210</f>
        <v>0</v>
      </c>
      <c r="G210" s="18" t="str">
        <f t="shared" si="50"/>
        <v>'</v>
      </c>
      <c r="H210" s="430"/>
    </row>
    <row r="211" spans="1:9" ht="27.6" customHeight="1">
      <c r="A211" s="118" t="s">
        <v>6284</v>
      </c>
      <c r="B211" s="37" t="str">
        <f>Language!A1301</f>
        <v>Stepwise instructions on how to read the results, including use of additional reagents if necessary</v>
      </c>
      <c r="C211" s="46"/>
      <c r="F211" s="29">
        <f>C211</f>
        <v>0</v>
      </c>
      <c r="G211" s="18" t="str">
        <f t="shared" si="50"/>
        <v>'</v>
      </c>
      <c r="H211" s="430"/>
    </row>
    <row r="212" spans="1:9">
      <c r="A212" s="118" t="s">
        <v>6285</v>
      </c>
      <c r="B212" s="37" t="str">
        <f>Language!A1302</f>
        <v>Clear guidance on interpreting results and recognizing unacceptable results</v>
      </c>
      <c r="C212" s="46"/>
      <c r="F212" s="29">
        <f>C212</f>
        <v>0</v>
      </c>
      <c r="G212" s="18" t="str">
        <f t="shared" si="50"/>
        <v>'</v>
      </c>
      <c r="H212" s="430"/>
    </row>
    <row r="213" spans="1:9">
      <c r="A213" s="118" t="s">
        <v>6286</v>
      </c>
      <c r="B213" s="20" t="str">
        <f>Language!A1304</f>
        <v>Are the SOPs available in a language that the technologists can read proficiently?</v>
      </c>
      <c r="C213" s="27"/>
      <c r="F213" s="29">
        <f t="shared" ref="F213:F218" si="51">C213</f>
        <v>0</v>
      </c>
      <c r="G213" s="18" t="str">
        <f>IF(F213="Yes",1,IF(F213="NO",0,"'"))</f>
        <v>'</v>
      </c>
      <c r="H213" s="430"/>
    </row>
    <row r="214" spans="1:9">
      <c r="A214" s="118" t="s">
        <v>6287</v>
      </c>
      <c r="B214" s="20" t="str">
        <f>Language!A1305</f>
        <v xml:space="preserve">Is the lab using the inoculation media recommended by the manufacturer? </v>
      </c>
      <c r="C214" s="27"/>
      <c r="F214" s="29">
        <f t="shared" si="51"/>
        <v>0</v>
      </c>
      <c r="G214" s="18" t="str">
        <f t="shared" ref="G214:G218" si="52">IF(F214="Yes",1,IF(F214="NO",0,"'"))</f>
        <v>'</v>
      </c>
      <c r="H214" s="430"/>
    </row>
    <row r="215" spans="1:9" ht="55.2" customHeight="1">
      <c r="A215" s="118" t="s">
        <v>6288</v>
      </c>
      <c r="B215" s="8" t="str">
        <f>Language!A1306</f>
        <v>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v>
      </c>
      <c r="C215" s="27"/>
      <c r="F215" s="29">
        <f t="shared" si="51"/>
        <v>0</v>
      </c>
      <c r="G215" s="18" t="str">
        <f t="shared" si="52"/>
        <v>'</v>
      </c>
      <c r="H215" s="430"/>
    </row>
    <row r="216" spans="1:9" ht="27.6" customHeight="1">
      <c r="A216" s="118" t="s">
        <v>6289</v>
      </c>
      <c r="B216" s="8" t="str">
        <f>Language!A1307</f>
        <v xml:space="preserve">Following incubation, are all supplemental reagents available and added according to manufacturer instructions? (e.g., VP1 &amp; 2 for API) </v>
      </c>
      <c r="C216" s="27"/>
      <c r="F216" s="29">
        <f t="shared" si="51"/>
        <v>0</v>
      </c>
      <c r="G216" s="18" t="str">
        <f t="shared" si="52"/>
        <v>'</v>
      </c>
      <c r="H216" s="430"/>
    </row>
    <row r="217" spans="1:9" ht="27.6" customHeight="1">
      <c r="A217" s="118" t="s">
        <v>6290</v>
      </c>
      <c r="B217" s="8" t="str">
        <f>Language!A1308</f>
        <v>Are the databases used to interpret the kit results (bionumbers) up to date?</v>
      </c>
      <c r="C217" s="27"/>
      <c r="F217" s="29">
        <f t="shared" si="51"/>
        <v>0</v>
      </c>
      <c r="G217" s="18" t="str">
        <f t="shared" si="52"/>
        <v>'</v>
      </c>
      <c r="H217" s="430"/>
    </row>
    <row r="218" spans="1:9" ht="41.55" customHeight="1">
      <c r="A218" s="118" t="s">
        <v>6291</v>
      </c>
      <c r="B218" s="8" t="str">
        <f>Language!A1309</f>
        <v>When an ID result (bionumber) does not reach the threshold for an acceptable identification, is there evidence that appropriate action is taken, such as repeating the test by another method or performing additional biochemical tests?</v>
      </c>
      <c r="C218" s="27"/>
      <c r="F218" s="29">
        <f t="shared" si="51"/>
        <v>0</v>
      </c>
      <c r="G218" s="18" t="str">
        <f t="shared" si="52"/>
        <v>'</v>
      </c>
      <c r="H218" s="430"/>
      <c r="I218" s="18" t="str">
        <f>IF(C218="No","Red Flag","'")</f>
        <v>'</v>
      </c>
    </row>
    <row r="219" spans="1:9" ht="16.2" thickBot="1">
      <c r="A219" s="118"/>
      <c r="B219" s="18"/>
      <c r="C219" s="18"/>
      <c r="D219" s="18"/>
      <c r="E219" s="18"/>
      <c r="F219" s="18"/>
      <c r="G219" s="18"/>
      <c r="H219" s="90"/>
      <c r="I219" s="18"/>
    </row>
    <row r="220" spans="1:9" ht="16.2" thickBot="1">
      <c r="A220" s="160"/>
      <c r="B220" s="49" t="str">
        <f>Language!A1310</f>
        <v>AUTOMATED ID METHODS</v>
      </c>
      <c r="C220" s="44" t="str">
        <f>IF(COUNTBLANK(C221:C232)=12,"???",IF(COUNT(G221:G232)=0,"NA",AVERAGE(G221:G232)))</f>
        <v>???</v>
      </c>
      <c r="F220" s="28"/>
      <c r="H220" s="161"/>
    </row>
    <row r="221" spans="1:9" ht="41.55" customHeight="1">
      <c r="A221" s="118"/>
      <c r="B221" s="20" t="str">
        <f>Language!A1311</f>
        <v>If the lab uses automated methods for organism ID (e.g., Vitek, Microscan, Phoenix), do the SOPs contain the following information? (User manuals provided by the manufacturer are not considered SOPs)</v>
      </c>
      <c r="H221" s="13"/>
    </row>
    <row r="222" spans="1:9">
      <c r="A222" s="76"/>
      <c r="B222" s="439" t="str">
        <f>Language!A1317</f>
        <v>1: Yes; 2: Partial; 3: No; NA: automated methods are not used</v>
      </c>
      <c r="D222" s="102"/>
      <c r="E222" s="102"/>
      <c r="F222" s="29"/>
      <c r="G222" s="18"/>
    </row>
    <row r="223" spans="1:9">
      <c r="A223" s="118" t="s">
        <v>6292</v>
      </c>
      <c r="B223" s="37" t="str">
        <f>Language!A1312</f>
        <v>Defined QC organisms, QC frequency, and expected QC results</v>
      </c>
      <c r="C223" s="46"/>
      <c r="F223" s="29">
        <f t="shared" ref="F223:F230" si="53">C223</f>
        <v>0</v>
      </c>
      <c r="G223" s="18" t="str">
        <f>IF(F223=1,1,IF(F223=2,0.5,IF(F223=3,0,"'")))</f>
        <v>'</v>
      </c>
      <c r="H223" s="430"/>
    </row>
    <row r="224" spans="1:9" ht="27.6" customHeight="1">
      <c r="A224" s="118" t="s">
        <v>6293</v>
      </c>
      <c r="B224" s="37" t="str">
        <f>Language!A1313</f>
        <v>Stepwise instructions for preparing the inoculum in the correct liquid medium and at the correct density</v>
      </c>
      <c r="C224" s="46"/>
      <c r="F224" s="29">
        <f t="shared" si="53"/>
        <v>0</v>
      </c>
      <c r="G224" s="18" t="str">
        <f t="shared" ref="G224:G227" si="54">IF(F224=1,1,IF(F224=2,0.5,IF(F224=3,0,"'")))</f>
        <v>'</v>
      </c>
      <c r="H224" s="430"/>
    </row>
    <row r="225" spans="1:10">
      <c r="A225" s="118" t="s">
        <v>6294</v>
      </c>
      <c r="B225" s="37" t="str">
        <f>Language!A1314</f>
        <v>Stepwise instructions on how to inoculate and incubate the device</v>
      </c>
      <c r="C225" s="46"/>
      <c r="F225" s="29">
        <f t="shared" si="53"/>
        <v>0</v>
      </c>
      <c r="G225" s="18" t="str">
        <f t="shared" si="54"/>
        <v>'</v>
      </c>
      <c r="H225" s="430"/>
    </row>
    <row r="226" spans="1:10" ht="27.6" customHeight="1">
      <c r="A226" s="118" t="s">
        <v>6295</v>
      </c>
      <c r="B226" s="37" t="str">
        <f>Language!A1315</f>
        <v>Stepwise instructions on how to read the results, including use of additional reagents if necessary</v>
      </c>
      <c r="C226" s="46"/>
      <c r="F226" s="29">
        <f t="shared" si="53"/>
        <v>0</v>
      </c>
      <c r="G226" s="18" t="str">
        <f t="shared" si="54"/>
        <v>'</v>
      </c>
      <c r="H226" s="430"/>
    </row>
    <row r="227" spans="1:10">
      <c r="A227" s="118" t="s">
        <v>6296</v>
      </c>
      <c r="B227" s="37" t="str">
        <f>Language!A1316</f>
        <v>Clear guidance on interpreting results and recognizing unacceptable results</v>
      </c>
      <c r="C227" s="46"/>
      <c r="F227" s="29">
        <f t="shared" si="53"/>
        <v>0</v>
      </c>
      <c r="G227" s="18" t="str">
        <f t="shared" si="54"/>
        <v>'</v>
      </c>
      <c r="H227" s="430"/>
    </row>
    <row r="228" spans="1:10" ht="27.6" customHeight="1">
      <c r="A228" s="118" t="s">
        <v>6297</v>
      </c>
      <c r="B228" s="20" t="str">
        <f>Language!A1318</f>
        <v>Is the SOP available in a language that the technologists using the instrument can read proficiently?</v>
      </c>
      <c r="C228" s="27"/>
      <c r="F228" s="29">
        <f t="shared" si="53"/>
        <v>0</v>
      </c>
      <c r="G228" s="18" t="str">
        <f>IF(F228="Yes",1,IF(F228="NO",0,"'"))</f>
        <v>'</v>
      </c>
      <c r="H228" s="430"/>
    </row>
    <row r="229" spans="1:10">
      <c r="A229" s="118" t="s">
        <v>6298</v>
      </c>
      <c r="B229" s="20" t="str">
        <f>Language!A1319</f>
        <v xml:space="preserve">Is the lab using the inoculation medium recommended by the manufacturer? </v>
      </c>
      <c r="C229" s="27"/>
      <c r="F229" s="29">
        <f t="shared" si="53"/>
        <v>0</v>
      </c>
      <c r="G229" s="18" t="str">
        <f t="shared" ref="G229:G232" si="55">IF(F229="Yes",1,IF(F229="NO",0,"'"))</f>
        <v>'</v>
      </c>
      <c r="H229" s="430"/>
    </row>
    <row r="230" spans="1:10" ht="27.6" customHeight="1">
      <c r="A230" s="118" t="s">
        <v>6299</v>
      </c>
      <c r="B230" s="20" t="str">
        <f>Language!A1320</f>
        <v>Following card/tray inoculation, does the lab use the remaining inoculum to make a purity plate?</v>
      </c>
      <c r="C230" s="27"/>
      <c r="F230" s="29">
        <f t="shared" si="53"/>
        <v>0</v>
      </c>
      <c r="G230" s="18" t="str">
        <f t="shared" si="55"/>
        <v>'</v>
      </c>
      <c r="H230" s="430"/>
    </row>
    <row r="231" spans="1:10" ht="36" customHeight="1">
      <c r="A231" s="117"/>
      <c r="B231" s="517" t="str">
        <f>Language!A1321</f>
        <v>A purity plate is a light subculture of the inoculum that is made to ensure the inoculum was not mixed or contaminated; usually streaked like a urine to ensure visualization of individual colonies and checked for purity when reading results. BAP is typically used.</v>
      </c>
      <c r="C231" s="234"/>
    </row>
    <row r="232" spans="1:10" ht="41.55" customHeight="1">
      <c r="A232" s="118" t="s">
        <v>6300</v>
      </c>
      <c r="B232" s="8" t="str">
        <f>Language!A1322</f>
        <v>When the instrument software flags an ID result as questionable, is there evidence that appropriate action is taken, such as repeating the test by another method or performing additional biochemical tests?</v>
      </c>
      <c r="C232" s="27"/>
      <c r="F232" s="29">
        <f>C232</f>
        <v>0</v>
      </c>
      <c r="G232" s="18" t="str">
        <f t="shared" si="55"/>
        <v>'</v>
      </c>
      <c r="H232" s="430"/>
      <c r="I232" s="18" t="str">
        <f>IF(C232="No","Red Flag","'")</f>
        <v>'</v>
      </c>
    </row>
    <row r="233" spans="1:10" ht="16.2" thickBot="1">
      <c r="A233" s="10"/>
      <c r="B233" s="202"/>
      <c r="C233" s="19"/>
      <c r="F233" s="28"/>
      <c r="H233" s="193"/>
    </row>
    <row r="234" spans="1:10" ht="16.2" thickBot="1">
      <c r="A234" s="160"/>
      <c r="B234" s="77" t="str">
        <f>Language!A1323</f>
        <v>IDENTIFICATION FLOWCHARTS</v>
      </c>
      <c r="C234" s="44" t="str">
        <f>IF(COUNTBLANK(C236:C245)=10,"???",IF(COUNT(G236:G245)=0,"NA",AVERAGE(G236:G245)))</f>
        <v>???</v>
      </c>
      <c r="H234" s="427"/>
    </row>
    <row r="235" spans="1:10">
      <c r="A235" s="10"/>
      <c r="B235" s="439" t="str">
        <f>Language!A1324</f>
        <v>1: Always - 2:  Sometimes - 3: Never</v>
      </c>
      <c r="C235" s="42"/>
      <c r="F235" s="29"/>
      <c r="G235" s="18"/>
      <c r="H235" s="169"/>
      <c r="J235" s="63"/>
    </row>
    <row r="236" spans="1:10" ht="27.6" customHeight="1">
      <c r="A236" s="153" t="s">
        <v>6301</v>
      </c>
      <c r="B236" s="127" t="str">
        <f>Language!A1325</f>
        <v xml:space="preserve">When the primary plate has mixed colony types, is it standard practice to subculture each colony of interest to a fresh plate to ensure purity prior to pursuing identification? </v>
      </c>
      <c r="C236" s="46"/>
      <c r="F236" s="29">
        <f t="shared" ref="F236:F244" si="56">C236</f>
        <v>0</v>
      </c>
      <c r="G236" s="18" t="str">
        <f>IF(F236=1,1,IF(F236=2,0.5,IF(F236=3,0,"'")))</f>
        <v>'</v>
      </c>
      <c r="H236" s="430"/>
      <c r="J236" s="242"/>
    </row>
    <row r="237" spans="1:10" ht="27.6" customHeight="1">
      <c r="A237" s="153" t="s">
        <v>6302</v>
      </c>
      <c r="B237" s="127" t="str">
        <f>Language!A1326</f>
        <v>Is it standard practice to perform a Gram stain on each isolate of interest prior to performing any other testing?</v>
      </c>
      <c r="C237" s="46"/>
      <c r="F237" s="29">
        <f t="shared" si="56"/>
        <v>0</v>
      </c>
      <c r="G237" s="18" t="str">
        <f t="shared" ref="G237:G244" si="57">IF(F237=1,1,IF(F237=2,0.5,IF(F237=3,0,"'")))</f>
        <v>'</v>
      </c>
      <c r="H237" s="430"/>
      <c r="J237" s="242"/>
    </row>
    <row r="238" spans="1:10" ht="27.6" customHeight="1">
      <c r="A238" s="153" t="s">
        <v>6303</v>
      </c>
      <c r="B238" s="127" t="str">
        <f>Language!A1327</f>
        <v>For gram-negative bacilli, is it standard practice to perform an oxidase test first, before proceeding with any other identification tests (including automated ID)?</v>
      </c>
      <c r="C238" s="46"/>
      <c r="F238" s="29">
        <f t="shared" si="56"/>
        <v>0</v>
      </c>
      <c r="G238" s="18" t="str">
        <f t="shared" si="57"/>
        <v>'</v>
      </c>
      <c r="H238" s="430"/>
      <c r="J238" s="242"/>
    </row>
    <row r="239" spans="1:10" ht="27.6" customHeight="1">
      <c r="A239" s="153" t="s">
        <v>6304</v>
      </c>
      <c r="B239" s="71" t="str">
        <f>Language!A1328</f>
        <v>For gram-negative bacilli, is it standard practice to perform an indole test second, before proceeding with other identification tests (including automated ID)?</v>
      </c>
      <c r="C239" s="46"/>
      <c r="F239" s="29">
        <f t="shared" si="56"/>
        <v>0</v>
      </c>
      <c r="G239" s="18" t="str">
        <f t="shared" si="57"/>
        <v>'</v>
      </c>
      <c r="H239" s="430"/>
      <c r="J239" s="242"/>
    </row>
    <row r="240" spans="1:10" ht="27.6" customHeight="1">
      <c r="A240" s="153" t="s">
        <v>6305</v>
      </c>
      <c r="B240" s="71" t="str">
        <f>Language!A1329</f>
        <v>For oxidase-negative gram-negative bacilli that do not ferment lactose (clear on MacConkey), are sufficient tests available to achieve a definitive identification?</v>
      </c>
      <c r="C240" s="46"/>
      <c r="F240" s="29">
        <f t="shared" si="56"/>
        <v>0</v>
      </c>
      <c r="G240" s="18" t="str">
        <f t="shared" si="57"/>
        <v>'</v>
      </c>
      <c r="H240" s="430"/>
      <c r="J240" s="242"/>
    </row>
    <row r="241" spans="1:10" ht="27.6" customHeight="1">
      <c r="A241" s="153" t="s">
        <v>6306</v>
      </c>
      <c r="B241" s="127" t="str">
        <f>Language!A1330</f>
        <v>For oxidase-positive gram-negative bacilli that are not Pseudomonas aeruginosa (lack the characteristic appearance and odor), are sufficient tests available to achieve a definitive identification?</v>
      </c>
      <c r="C241" s="46"/>
      <c r="F241" s="29">
        <f t="shared" si="56"/>
        <v>0</v>
      </c>
      <c r="G241" s="18" t="str">
        <f t="shared" si="57"/>
        <v>'</v>
      </c>
      <c r="H241" s="430"/>
      <c r="J241" s="242"/>
    </row>
    <row r="242" spans="1:10" ht="27.6" customHeight="1">
      <c r="A242" s="153" t="s">
        <v>6307</v>
      </c>
      <c r="B242" s="127" t="str">
        <f>Language!A1331</f>
        <v>For gram-positive cocci, is it standard practice to perform a catalase test first, before proceeding with any other identification tests (including automated ID)?</v>
      </c>
      <c r="C242" s="46"/>
      <c r="F242" s="29">
        <f t="shared" si="56"/>
        <v>0</v>
      </c>
      <c r="G242" s="18" t="str">
        <f t="shared" si="57"/>
        <v>'</v>
      </c>
      <c r="H242" s="430"/>
      <c r="J242" s="242"/>
    </row>
    <row r="243" spans="1:10" ht="27.6" customHeight="1">
      <c r="A243" s="153" t="s">
        <v>6308</v>
      </c>
      <c r="B243" s="127" t="str">
        <f>Language!A1332</f>
        <v>For catalase-positive gram-positive cocci, is it standard practice to perform a coagulase test next, before proceeding with other identification tests (including automated ID)?</v>
      </c>
      <c r="C243" s="46"/>
      <c r="F243" s="29">
        <f t="shared" si="56"/>
        <v>0</v>
      </c>
      <c r="G243" s="18" t="str">
        <f t="shared" si="57"/>
        <v>'</v>
      </c>
      <c r="H243" s="430"/>
      <c r="J243" s="242"/>
    </row>
    <row r="244" spans="1:10" ht="27.6" customHeight="1">
      <c r="A244" s="153" t="s">
        <v>6309</v>
      </c>
      <c r="B244" s="127" t="str">
        <f>Language!A1333</f>
        <v>For catalase-negative gram-positive cocci, is it standard practice to evaluate the type of hemolysis (alpha, beta, gamma), before proceeding with other identification tests (including automated ID)?</v>
      </c>
      <c r="C244" s="46"/>
      <c r="F244" s="29">
        <f t="shared" si="56"/>
        <v>0</v>
      </c>
      <c r="G244" s="18" t="str">
        <f t="shared" si="57"/>
        <v>'</v>
      </c>
      <c r="H244" s="430"/>
      <c r="J244" s="242"/>
    </row>
  </sheetData>
  <sheetProtection algorithmName="SHA-256" hashValue="iyHGiL7+Sb2gZVrSEPloBhNkIFtPazC5rzfOMHXQNCM=" saltValue="Yogwf8UuhFPPk6Swz7rhbQ==" spinCount="100000" sheet="1" selectLockedCells="1"/>
  <mergeCells count="2">
    <mergeCell ref="B5:B6"/>
    <mergeCell ref="B7:B8"/>
  </mergeCells>
  <phoneticPr fontId="45" type="noConversion"/>
  <conditionalFormatting sqref="C3">
    <cfRule type="cellIs" dxfId="781" priority="1161" stopIfTrue="1" operator="greaterThanOrEqual">
      <formula>0.8</formula>
    </cfRule>
    <cfRule type="cellIs" dxfId="780" priority="1163" stopIfTrue="1" operator="lessThan">
      <formula>0.5</formula>
    </cfRule>
    <cfRule type="cellIs" dxfId="779" priority="1162" stopIfTrue="1" operator="between">
      <formula>0.5</formula>
      <formula>0.799</formula>
    </cfRule>
  </conditionalFormatting>
  <conditionalFormatting sqref="C4:C8">
    <cfRule type="cellIs" dxfId="778" priority="180" operator="lessThan">
      <formula>0.5</formula>
    </cfRule>
    <cfRule type="cellIs" dxfId="777" priority="179" operator="between">
      <formula>0.5</formula>
      <formula>0.75</formula>
    </cfRule>
    <cfRule type="cellIs" dxfId="776" priority="178" operator="greaterThan">
      <formula>0.75</formula>
    </cfRule>
  </conditionalFormatting>
  <conditionalFormatting sqref="C10:C11">
    <cfRule type="cellIs" dxfId="775" priority="182" stopIfTrue="1" operator="between">
      <formula>0.5</formula>
      <formula>0.799</formula>
    </cfRule>
    <cfRule type="cellIs" dxfId="774" priority="183" stopIfTrue="1" operator="lessThan">
      <formula>0.5</formula>
    </cfRule>
    <cfRule type="cellIs" dxfId="773" priority="181" stopIfTrue="1" operator="greaterThanOrEqual">
      <formula>0.8</formula>
    </cfRule>
  </conditionalFormatting>
  <conditionalFormatting sqref="C20">
    <cfRule type="cellIs" dxfId="772" priority="539" stopIfTrue="1" operator="lessThan">
      <formula>0.5</formula>
    </cfRule>
    <cfRule type="cellIs" dxfId="771" priority="537" stopIfTrue="1" operator="greaterThanOrEqual">
      <formula>0.8</formula>
    </cfRule>
    <cfRule type="cellIs" dxfId="770" priority="538" stopIfTrue="1" operator="between">
      <formula>0.5</formula>
      <formula>0.799</formula>
    </cfRule>
  </conditionalFormatting>
  <conditionalFormatting sqref="C32:C33">
    <cfRule type="cellIs" dxfId="769" priority="321" stopIfTrue="1" operator="lessThan">
      <formula>0.5</formula>
    </cfRule>
    <cfRule type="cellIs" dxfId="768" priority="320" stopIfTrue="1" operator="between">
      <formula>0.5</formula>
      <formula>0.799</formula>
    </cfRule>
    <cfRule type="cellIs" dxfId="767" priority="319" stopIfTrue="1" operator="greaterThanOrEqual">
      <formula>0.8</formula>
    </cfRule>
  </conditionalFormatting>
  <conditionalFormatting sqref="C42">
    <cfRule type="cellIs" dxfId="766" priority="306" stopIfTrue="1" operator="lessThan">
      <formula>0.5</formula>
    </cfRule>
    <cfRule type="cellIs" dxfId="765" priority="305" stopIfTrue="1" operator="between">
      <formula>0.5</formula>
      <formula>0.799</formula>
    </cfRule>
    <cfRule type="cellIs" dxfId="764" priority="304" stopIfTrue="1" operator="greaterThanOrEqual">
      <formula>0.8</formula>
    </cfRule>
  </conditionalFormatting>
  <conditionalFormatting sqref="C49">
    <cfRule type="cellIs" dxfId="763" priority="301" stopIfTrue="1" operator="greaterThanOrEqual">
      <formula>0.8</formula>
    </cfRule>
    <cfRule type="cellIs" dxfId="762" priority="303" stopIfTrue="1" operator="lessThan">
      <formula>0.5</formula>
    </cfRule>
    <cfRule type="cellIs" dxfId="761" priority="302" stopIfTrue="1" operator="between">
      <formula>0.5</formula>
      <formula>0.799</formula>
    </cfRule>
  </conditionalFormatting>
  <conditionalFormatting sqref="C57:C58">
    <cfRule type="cellIs" dxfId="760" priority="454" stopIfTrue="1" operator="greaterThanOrEqual">
      <formula>0.8</formula>
    </cfRule>
    <cfRule type="cellIs" dxfId="759" priority="456" stopIfTrue="1" operator="lessThan">
      <formula>0.5</formula>
    </cfRule>
    <cfRule type="cellIs" dxfId="758" priority="455" stopIfTrue="1" operator="between">
      <formula>0.5</formula>
      <formula>0.799</formula>
    </cfRule>
  </conditionalFormatting>
  <conditionalFormatting sqref="C65">
    <cfRule type="cellIs" dxfId="757" priority="458" stopIfTrue="1" operator="between">
      <formula>0.5</formula>
      <formula>0.799</formula>
    </cfRule>
    <cfRule type="cellIs" dxfId="756" priority="459" stopIfTrue="1" operator="lessThan">
      <formula>0.5</formula>
    </cfRule>
    <cfRule type="cellIs" dxfId="755" priority="457" stopIfTrue="1" operator="greaterThanOrEqual">
      <formula>0.8</formula>
    </cfRule>
  </conditionalFormatting>
  <conditionalFormatting sqref="C72">
    <cfRule type="cellIs" dxfId="754" priority="519" stopIfTrue="1" operator="greaterThanOrEqual">
      <formula>0.8</formula>
    </cfRule>
    <cfRule type="cellIs" dxfId="753" priority="520" stopIfTrue="1" operator="between">
      <formula>0.5</formula>
      <formula>0.799</formula>
    </cfRule>
    <cfRule type="cellIs" dxfId="752" priority="521" stopIfTrue="1" operator="lessThan">
      <formula>0.5</formula>
    </cfRule>
  </conditionalFormatting>
  <conditionalFormatting sqref="C80">
    <cfRule type="cellIs" dxfId="751" priority="449" stopIfTrue="1" operator="lessThan">
      <formula>0.5</formula>
    </cfRule>
    <cfRule type="cellIs" dxfId="750" priority="448" stopIfTrue="1" operator="between">
      <formula>0.5</formula>
      <formula>0.799</formula>
    </cfRule>
    <cfRule type="cellIs" dxfId="749" priority="447" stopIfTrue="1" operator="greaterThanOrEqual">
      <formula>0.8</formula>
    </cfRule>
  </conditionalFormatting>
  <conditionalFormatting sqref="C87:C88">
    <cfRule type="cellIs" dxfId="748" priority="446" stopIfTrue="1" operator="lessThan">
      <formula>0.5</formula>
    </cfRule>
    <cfRule type="cellIs" dxfId="747" priority="445" stopIfTrue="1" operator="between">
      <formula>0.5</formula>
      <formula>0.799</formula>
    </cfRule>
    <cfRule type="cellIs" dxfId="746" priority="444" stopIfTrue="1" operator="greaterThanOrEqual">
      <formula>0.8</formula>
    </cfRule>
  </conditionalFormatting>
  <conditionalFormatting sqref="C95">
    <cfRule type="cellIs" dxfId="745" priority="354" stopIfTrue="1" operator="lessThan">
      <formula>0.5</formula>
    </cfRule>
    <cfRule type="cellIs" dxfId="744" priority="353" stopIfTrue="1" operator="between">
      <formula>0.5</formula>
      <formula>0.799</formula>
    </cfRule>
    <cfRule type="cellIs" dxfId="743" priority="352" stopIfTrue="1" operator="greaterThanOrEqual">
      <formula>0.8</formula>
    </cfRule>
  </conditionalFormatting>
  <conditionalFormatting sqref="C102">
    <cfRule type="cellIs" dxfId="742" priority="351" stopIfTrue="1" operator="lessThan">
      <formula>0.5</formula>
    </cfRule>
    <cfRule type="cellIs" dxfId="741" priority="350" stopIfTrue="1" operator="between">
      <formula>0.5</formula>
      <formula>0.799</formula>
    </cfRule>
    <cfRule type="cellIs" dxfId="740" priority="349" stopIfTrue="1" operator="greaterThanOrEqual">
      <formula>0.8</formula>
    </cfRule>
  </conditionalFormatting>
  <conditionalFormatting sqref="C109">
    <cfRule type="cellIs" dxfId="739" priority="348" stopIfTrue="1" operator="lessThan">
      <formula>0.5</formula>
    </cfRule>
    <cfRule type="cellIs" dxfId="738" priority="347" stopIfTrue="1" operator="between">
      <formula>0.5</formula>
      <formula>0.799</formula>
    </cfRule>
    <cfRule type="cellIs" dxfId="737" priority="346" stopIfTrue="1" operator="greaterThanOrEqual">
      <formula>0.8</formula>
    </cfRule>
  </conditionalFormatting>
  <conditionalFormatting sqref="C116">
    <cfRule type="cellIs" dxfId="736" priority="344" stopIfTrue="1" operator="between">
      <formula>0.5</formula>
      <formula>0.799</formula>
    </cfRule>
    <cfRule type="cellIs" dxfId="735" priority="343" stopIfTrue="1" operator="greaterThanOrEqual">
      <formula>0.8</formula>
    </cfRule>
    <cfRule type="cellIs" dxfId="734" priority="345" stopIfTrue="1" operator="lessThan">
      <formula>0.5</formula>
    </cfRule>
  </conditionalFormatting>
  <conditionalFormatting sqref="C123">
    <cfRule type="cellIs" dxfId="733" priority="342" stopIfTrue="1" operator="lessThan">
      <formula>0.5</formula>
    </cfRule>
    <cfRule type="cellIs" dxfId="732" priority="341" stopIfTrue="1" operator="between">
      <formula>0.5</formula>
      <formula>0.799</formula>
    </cfRule>
    <cfRule type="cellIs" dxfId="731" priority="340" stopIfTrue="1" operator="greaterThanOrEqual">
      <formula>0.8</formula>
    </cfRule>
  </conditionalFormatting>
  <conditionalFormatting sqref="C130">
    <cfRule type="cellIs" dxfId="730" priority="339" stopIfTrue="1" operator="lessThan">
      <formula>0.5</formula>
    </cfRule>
    <cfRule type="cellIs" dxfId="729" priority="338" stopIfTrue="1" operator="between">
      <formula>0.5</formula>
      <formula>0.799</formula>
    </cfRule>
    <cfRule type="cellIs" dxfId="728" priority="337" stopIfTrue="1" operator="greaterThanOrEqual">
      <formula>0.8</formula>
    </cfRule>
  </conditionalFormatting>
  <conditionalFormatting sqref="C137">
    <cfRule type="cellIs" dxfId="727" priority="335" stopIfTrue="1" operator="between">
      <formula>0.5</formula>
      <formula>0.799</formula>
    </cfRule>
    <cfRule type="cellIs" dxfId="726" priority="336" stopIfTrue="1" operator="lessThan">
      <formula>0.5</formula>
    </cfRule>
    <cfRule type="cellIs" dxfId="725" priority="334" stopIfTrue="1" operator="greaterThanOrEqual">
      <formula>0.8</formula>
    </cfRule>
  </conditionalFormatting>
  <conditionalFormatting sqref="C144">
    <cfRule type="cellIs" dxfId="724" priority="333" stopIfTrue="1" operator="lessThan">
      <formula>0.5</formula>
    </cfRule>
    <cfRule type="cellIs" dxfId="723" priority="332" stopIfTrue="1" operator="between">
      <formula>0.5</formula>
      <formula>0.799</formula>
    </cfRule>
    <cfRule type="cellIs" dxfId="722" priority="331" stopIfTrue="1" operator="greaterThanOrEqual">
      <formula>0.8</formula>
    </cfRule>
  </conditionalFormatting>
  <conditionalFormatting sqref="C152:C153">
    <cfRule type="cellIs" dxfId="721" priority="322" stopIfTrue="1" operator="greaterThanOrEqual">
      <formula>0.8</formula>
    </cfRule>
    <cfRule type="cellIs" dxfId="720" priority="323" stopIfTrue="1" operator="between">
      <formula>0.5</formula>
      <formula>0.799</formula>
    </cfRule>
    <cfRule type="cellIs" dxfId="719" priority="324" stopIfTrue="1" operator="lessThan">
      <formula>0.5</formula>
    </cfRule>
  </conditionalFormatting>
  <conditionalFormatting sqref="C160">
    <cfRule type="cellIs" dxfId="718" priority="327" stopIfTrue="1" operator="lessThan">
      <formula>0.5</formula>
    </cfRule>
    <cfRule type="cellIs" dxfId="717" priority="326" stopIfTrue="1" operator="between">
      <formula>0.5</formula>
      <formula>0.799</formula>
    </cfRule>
    <cfRule type="cellIs" dxfId="716" priority="325" stopIfTrue="1" operator="greaterThanOrEqual">
      <formula>0.8</formula>
    </cfRule>
  </conditionalFormatting>
  <conditionalFormatting sqref="C168:C169">
    <cfRule type="cellIs" dxfId="715" priority="368" stopIfTrue="1" operator="between">
      <formula>0.5</formula>
      <formula>0.799</formula>
    </cfRule>
    <cfRule type="cellIs" dxfId="714" priority="367" stopIfTrue="1" operator="greaterThanOrEqual">
      <formula>0.8</formula>
    </cfRule>
    <cfRule type="cellIs" dxfId="713" priority="369" stopIfTrue="1" operator="lessThan">
      <formula>0.5</formula>
    </cfRule>
  </conditionalFormatting>
  <conditionalFormatting sqref="C176">
    <cfRule type="cellIs" dxfId="712" priority="365" stopIfTrue="1" operator="between">
      <formula>0.5</formula>
      <formula>0.799</formula>
    </cfRule>
    <cfRule type="cellIs" dxfId="711" priority="364" stopIfTrue="1" operator="greaterThanOrEqual">
      <formula>0.8</formula>
    </cfRule>
    <cfRule type="cellIs" dxfId="710" priority="366" stopIfTrue="1" operator="lessThan">
      <formula>0.5</formula>
    </cfRule>
  </conditionalFormatting>
  <conditionalFormatting sqref="C183">
    <cfRule type="cellIs" dxfId="709" priority="363" stopIfTrue="1" operator="lessThan">
      <formula>0.5</formula>
    </cfRule>
    <cfRule type="cellIs" dxfId="708" priority="362" stopIfTrue="1" operator="between">
      <formula>0.5</formula>
      <formula>0.799</formula>
    </cfRule>
    <cfRule type="cellIs" dxfId="707" priority="361" stopIfTrue="1" operator="greaterThanOrEqual">
      <formula>0.8</formula>
    </cfRule>
  </conditionalFormatting>
  <conditionalFormatting sqref="C190">
    <cfRule type="cellIs" dxfId="706" priority="359" stopIfTrue="1" operator="between">
      <formula>0.5</formula>
      <formula>0.799</formula>
    </cfRule>
    <cfRule type="cellIs" dxfId="705" priority="360" stopIfTrue="1" operator="lessThan">
      <formula>0.5</formula>
    </cfRule>
    <cfRule type="cellIs" dxfId="704" priority="358" stopIfTrue="1" operator="greaterThanOrEqual">
      <formula>0.8</formula>
    </cfRule>
  </conditionalFormatting>
  <conditionalFormatting sqref="C197">
    <cfRule type="cellIs" dxfId="703" priority="355" stopIfTrue="1" operator="greaterThanOrEqual">
      <formula>0.8</formula>
    </cfRule>
    <cfRule type="cellIs" dxfId="702" priority="357" stopIfTrue="1" operator="lessThan">
      <formula>0.5</formula>
    </cfRule>
    <cfRule type="cellIs" dxfId="701" priority="356" stopIfTrue="1" operator="between">
      <formula>0.5</formula>
      <formula>0.799</formula>
    </cfRule>
  </conditionalFormatting>
  <conditionalFormatting sqref="C205">
    <cfRule type="cellIs" dxfId="700" priority="1274" stopIfTrue="1" operator="lessThan">
      <formula>0.5</formula>
    </cfRule>
    <cfRule type="cellIs" dxfId="699" priority="1273" stopIfTrue="1" operator="between">
      <formula>0.5</formula>
      <formula>0.799</formula>
    </cfRule>
    <cfRule type="cellIs" dxfId="698" priority="1272" stopIfTrue="1" operator="greaterThanOrEqual">
      <formula>0.8</formula>
    </cfRule>
  </conditionalFormatting>
  <conditionalFormatting sqref="C220">
    <cfRule type="cellIs" dxfId="697" priority="1314" stopIfTrue="1" operator="greaterThanOrEqual">
      <formula>0.8</formula>
    </cfRule>
    <cfRule type="cellIs" dxfId="696" priority="1315" stopIfTrue="1" operator="between">
      <formula>0.5</formula>
      <formula>0.799</formula>
    </cfRule>
    <cfRule type="cellIs" dxfId="695" priority="1316" stopIfTrue="1" operator="lessThan">
      <formula>0.5</formula>
    </cfRule>
  </conditionalFormatting>
  <conditionalFormatting sqref="C234">
    <cfRule type="cellIs" dxfId="694" priority="156" stopIfTrue="1" operator="between">
      <formula>0.5</formula>
      <formula>0.799</formula>
    </cfRule>
    <cfRule type="cellIs" dxfId="693" priority="155" stopIfTrue="1" operator="greaterThanOrEqual">
      <formula>0.8</formula>
    </cfRule>
    <cfRule type="cellIs" dxfId="692" priority="157" stopIfTrue="1" operator="lessThan">
      <formula>0.5</formula>
    </cfRule>
  </conditionalFormatting>
  <conditionalFormatting sqref="G13:G17">
    <cfRule type="cellIs" dxfId="691" priority="294" stopIfTrue="1" operator="greaterThan">
      <formula>0.75</formula>
    </cfRule>
    <cfRule type="cellIs" dxfId="690" priority="293" stopIfTrue="1" operator="between">
      <formula>0.5</formula>
      <formula>0.75</formula>
    </cfRule>
    <cfRule type="cellIs" dxfId="689" priority="292" stopIfTrue="1" operator="lessThan">
      <formula>0.5</formula>
    </cfRule>
    <cfRule type="cellIs" dxfId="688" priority="1250" stopIfTrue="1" operator="greaterThan">
      <formula>0.75</formula>
    </cfRule>
    <cfRule type="cellIs" dxfId="687" priority="1248" stopIfTrue="1" operator="lessThan">
      <formula>0.5</formula>
    </cfRule>
    <cfRule type="cellIs" dxfId="686" priority="1249" stopIfTrue="1" operator="between">
      <formula>0.5</formula>
      <formula>0.75</formula>
    </cfRule>
  </conditionalFormatting>
  <conditionalFormatting sqref="G13:G19">
    <cfRule type="cellIs" dxfId="685" priority="563" stopIfTrue="1" operator="lessThan">
      <formula>0.5</formula>
    </cfRule>
    <cfRule type="cellIs" dxfId="684" priority="564" stopIfTrue="1" operator="between">
      <formula>0.5</formula>
      <formula>0.75</formula>
    </cfRule>
    <cfRule type="cellIs" dxfId="683" priority="565" stopIfTrue="1" operator="greaterThan">
      <formula>0.75</formula>
    </cfRule>
  </conditionalFormatting>
  <conditionalFormatting sqref="G13:G20">
    <cfRule type="containsText" dxfId="682" priority="562" stopIfTrue="1" operator="containsText" text="RED FLAG">
      <formula>NOT(ISERROR(SEARCH("RED FLAG",G13)))</formula>
    </cfRule>
  </conditionalFormatting>
  <conditionalFormatting sqref="G22:G27">
    <cfRule type="cellIs" dxfId="681" priority="116" stopIfTrue="1" operator="between">
      <formula>0.5</formula>
      <formula>0.75</formula>
    </cfRule>
    <cfRule type="cellIs" dxfId="680" priority="117" stopIfTrue="1" operator="greaterThan">
      <formula>0.75</formula>
    </cfRule>
    <cfRule type="cellIs" dxfId="679" priority="115" stopIfTrue="1" operator="lessThan">
      <formula>0.5</formula>
    </cfRule>
  </conditionalFormatting>
  <conditionalFormatting sqref="G22:G32">
    <cfRule type="cellIs" dxfId="678" priority="119" stopIfTrue="1" operator="lessThan">
      <formula>0.5</formula>
    </cfRule>
    <cfRule type="cellIs" dxfId="677" priority="120" stopIfTrue="1" operator="between">
      <formula>0.5</formula>
      <formula>0.75</formula>
    </cfRule>
    <cfRule type="cellIs" dxfId="676" priority="121" stopIfTrue="1" operator="greaterThan">
      <formula>0.75</formula>
    </cfRule>
  </conditionalFormatting>
  <conditionalFormatting sqref="G22:G34">
    <cfRule type="containsText" dxfId="675" priority="118" stopIfTrue="1" operator="containsText" text="RED FLAG">
      <formula>NOT(ISERROR(SEARCH("RED FLAG",G22)))</formula>
    </cfRule>
  </conditionalFormatting>
  <conditionalFormatting sqref="G35:G39">
    <cfRule type="containsText" dxfId="674" priority="111" stopIfTrue="1" operator="containsText" text="RED FLAG">
      <formula>NOT(ISERROR(SEARCH("RED FLAG",G35)))</formula>
    </cfRule>
    <cfRule type="cellIs" dxfId="673" priority="114" stopIfTrue="1" operator="greaterThan">
      <formula>0.75</formula>
    </cfRule>
    <cfRule type="cellIs" dxfId="672" priority="113" stopIfTrue="1" operator="between">
      <formula>0.5</formula>
      <formula>0.75</formula>
    </cfRule>
    <cfRule type="cellIs" dxfId="671" priority="112" stopIfTrue="1" operator="lessThan">
      <formula>0.5</formula>
    </cfRule>
  </conditionalFormatting>
  <conditionalFormatting sqref="G35:G41">
    <cfRule type="cellIs" dxfId="670" priority="106" stopIfTrue="1" operator="between">
      <formula>0.5</formula>
      <formula>0.75</formula>
    </cfRule>
    <cfRule type="cellIs" dxfId="669" priority="105" stopIfTrue="1" operator="lessThan">
      <formula>0.5</formula>
    </cfRule>
    <cfRule type="cellIs" dxfId="668" priority="107" stopIfTrue="1" operator="greaterThan">
      <formula>0.75</formula>
    </cfRule>
  </conditionalFormatting>
  <conditionalFormatting sqref="G40:G50">
    <cfRule type="containsText" dxfId="667" priority="100" stopIfTrue="1" operator="containsText" text="RED FLAG">
      <formula>NOT(ISERROR(SEARCH("RED FLAG",G40)))</formula>
    </cfRule>
  </conditionalFormatting>
  <conditionalFormatting sqref="G43:G50">
    <cfRule type="cellIs" dxfId="666" priority="101" stopIfTrue="1" operator="lessThan">
      <formula>0.5</formula>
    </cfRule>
    <cfRule type="cellIs" dxfId="665" priority="103" stopIfTrue="1" operator="greaterThan">
      <formula>0.75</formula>
    </cfRule>
    <cfRule type="cellIs" dxfId="664" priority="102" stopIfTrue="1" operator="between">
      <formula>0.5</formula>
      <formula>0.75</formula>
    </cfRule>
  </conditionalFormatting>
  <conditionalFormatting sqref="G44:G48">
    <cfRule type="cellIs" dxfId="663" priority="97" stopIfTrue="1" operator="lessThan">
      <formula>0.5</formula>
    </cfRule>
    <cfRule type="cellIs" dxfId="662" priority="98" stopIfTrue="1" operator="between">
      <formula>0.5</formula>
      <formula>0.75</formula>
    </cfRule>
    <cfRule type="cellIs" dxfId="661" priority="99" stopIfTrue="1" operator="greaterThan">
      <formula>0.75</formula>
    </cfRule>
  </conditionalFormatting>
  <conditionalFormatting sqref="G51:G55">
    <cfRule type="cellIs" dxfId="660" priority="92" stopIfTrue="1" operator="greaterThan">
      <formula>0.75</formula>
    </cfRule>
    <cfRule type="cellIs" dxfId="659" priority="91" stopIfTrue="1" operator="between">
      <formula>0.5</formula>
      <formula>0.75</formula>
    </cfRule>
    <cfRule type="cellIs" dxfId="658" priority="94" stopIfTrue="1" operator="lessThan">
      <formula>0.5</formula>
    </cfRule>
    <cfRule type="cellIs" dxfId="657" priority="95" stopIfTrue="1" operator="between">
      <formula>0.5</formula>
      <formula>0.75</formula>
    </cfRule>
    <cfRule type="containsText" dxfId="656" priority="93" stopIfTrue="1" operator="containsText" text="RED FLAG">
      <formula>NOT(ISERROR(SEARCH("RED FLAG",G51)))</formula>
    </cfRule>
    <cfRule type="cellIs" dxfId="655" priority="96" stopIfTrue="1" operator="greaterThan">
      <formula>0.75</formula>
    </cfRule>
    <cfRule type="cellIs" dxfId="654" priority="90" stopIfTrue="1" operator="lessThan">
      <formula>0.5</formula>
    </cfRule>
  </conditionalFormatting>
  <conditionalFormatting sqref="G57:G65">
    <cfRule type="containsText" dxfId="653" priority="86" stopIfTrue="1" operator="containsText" text="RED FLAG">
      <formula>NOT(ISERROR(SEARCH("RED FLAG",G57)))</formula>
    </cfRule>
  </conditionalFormatting>
  <conditionalFormatting sqref="G59:G64">
    <cfRule type="cellIs" dxfId="652" priority="87" stopIfTrue="1" operator="lessThan">
      <formula>0.5</formula>
    </cfRule>
    <cfRule type="cellIs" dxfId="651" priority="88" stopIfTrue="1" operator="between">
      <formula>0.5</formula>
      <formula>0.75</formula>
    </cfRule>
    <cfRule type="cellIs" dxfId="650" priority="89" stopIfTrue="1" operator="greaterThan">
      <formula>0.75</formula>
    </cfRule>
  </conditionalFormatting>
  <conditionalFormatting sqref="G60:G64">
    <cfRule type="cellIs" dxfId="649" priority="83" stopIfTrue="1" operator="lessThan">
      <formula>0.5</formula>
    </cfRule>
    <cfRule type="cellIs" dxfId="648" priority="85" stopIfTrue="1" operator="greaterThan">
      <formula>0.75</formula>
    </cfRule>
    <cfRule type="cellIs" dxfId="647" priority="84" stopIfTrue="1" operator="between">
      <formula>0.5</formula>
      <formula>0.75</formula>
    </cfRule>
  </conditionalFormatting>
  <conditionalFormatting sqref="G67:G71">
    <cfRule type="cellIs" dxfId="646" priority="82" stopIfTrue="1" operator="greaterThan">
      <formula>0.75</formula>
    </cfRule>
    <cfRule type="cellIs" dxfId="645" priority="81" stopIfTrue="1" operator="between">
      <formula>0.5</formula>
      <formula>0.75</formula>
    </cfRule>
    <cfRule type="cellIs" dxfId="644" priority="80" stopIfTrue="1" operator="lessThan">
      <formula>0.5</formula>
    </cfRule>
    <cfRule type="cellIs" dxfId="643" priority="78" stopIfTrue="1" operator="greaterThan">
      <formula>0.75</formula>
    </cfRule>
    <cfRule type="cellIs" dxfId="642" priority="77" stopIfTrue="1" operator="between">
      <formula>0.5</formula>
      <formula>0.75</formula>
    </cfRule>
    <cfRule type="cellIs" dxfId="641" priority="76" stopIfTrue="1" operator="lessThan">
      <formula>0.5</formula>
    </cfRule>
  </conditionalFormatting>
  <conditionalFormatting sqref="G67:G72">
    <cfRule type="containsText" dxfId="640" priority="79" stopIfTrue="1" operator="containsText" text="RED FLAG">
      <formula>NOT(ISERROR(SEARCH("RED FLAG",G67)))</formula>
    </cfRule>
  </conditionalFormatting>
  <conditionalFormatting sqref="G74:G78">
    <cfRule type="cellIs" dxfId="639" priority="67" stopIfTrue="1" operator="greaterThan">
      <formula>0.75</formula>
    </cfRule>
    <cfRule type="cellIs" dxfId="638" priority="66" stopIfTrue="1" operator="between">
      <formula>0.5</formula>
      <formula>0.75</formula>
    </cfRule>
    <cfRule type="cellIs" dxfId="637" priority="65" stopIfTrue="1" operator="lessThan">
      <formula>0.5</formula>
    </cfRule>
  </conditionalFormatting>
  <conditionalFormatting sqref="G74:G79">
    <cfRule type="cellIs" dxfId="636" priority="69" stopIfTrue="1" operator="lessThan">
      <formula>0.5</formula>
    </cfRule>
    <cfRule type="cellIs" dxfId="635" priority="71" stopIfTrue="1" operator="greaterThan">
      <formula>0.75</formula>
    </cfRule>
    <cfRule type="cellIs" dxfId="634" priority="70" stopIfTrue="1" operator="between">
      <formula>0.5</formula>
      <formula>0.75</formula>
    </cfRule>
  </conditionalFormatting>
  <conditionalFormatting sqref="G74:G81">
    <cfRule type="containsText" dxfId="633" priority="68" stopIfTrue="1" operator="containsText" text="RED FLAG">
      <formula>NOT(ISERROR(SEARCH("RED FLAG",G74)))</formula>
    </cfRule>
  </conditionalFormatting>
  <conditionalFormatting sqref="G81 G103 G131 G154 G170">
    <cfRule type="cellIs" dxfId="632" priority="186" stopIfTrue="1" operator="between">
      <formula>0.5</formula>
      <formula>0.75</formula>
    </cfRule>
    <cfRule type="cellIs" dxfId="631" priority="187" stopIfTrue="1" operator="greaterThan">
      <formula>0.75</formula>
    </cfRule>
    <cfRule type="cellIs" dxfId="630" priority="185" stopIfTrue="1" operator="lessThan">
      <formula>0.5</formula>
    </cfRule>
  </conditionalFormatting>
  <conditionalFormatting sqref="G82:G86">
    <cfRule type="cellIs" dxfId="629" priority="64" stopIfTrue="1" operator="greaterThan">
      <formula>0.75</formula>
    </cfRule>
    <cfRule type="cellIs" dxfId="628" priority="62" stopIfTrue="1" operator="lessThan">
      <formula>0.5</formula>
    </cfRule>
    <cfRule type="cellIs" dxfId="627" priority="60" stopIfTrue="1" operator="greaterThan">
      <formula>0.75</formula>
    </cfRule>
    <cfRule type="cellIs" dxfId="626" priority="59" stopIfTrue="1" operator="between">
      <formula>0.5</formula>
      <formula>0.75</formula>
    </cfRule>
    <cfRule type="cellIs" dxfId="625" priority="58" stopIfTrue="1" operator="lessThan">
      <formula>0.5</formula>
    </cfRule>
    <cfRule type="cellIs" dxfId="624" priority="63" stopIfTrue="1" operator="between">
      <formula>0.5</formula>
      <formula>0.75</formula>
    </cfRule>
  </conditionalFormatting>
  <conditionalFormatting sqref="G82:G88">
    <cfRule type="containsText" dxfId="623" priority="61" stopIfTrue="1" operator="containsText" text="RED FLAG">
      <formula>NOT(ISERROR(SEARCH("RED FLAG",G82)))</formula>
    </cfRule>
  </conditionalFormatting>
  <conditionalFormatting sqref="G90:G94">
    <cfRule type="cellIs" dxfId="622" priority="57" stopIfTrue="1" operator="greaterThan">
      <formula>0.75</formula>
    </cfRule>
    <cfRule type="cellIs" dxfId="621" priority="56" stopIfTrue="1" operator="between">
      <formula>0.5</formula>
      <formula>0.75</formula>
    </cfRule>
    <cfRule type="cellIs" dxfId="620" priority="55" stopIfTrue="1" operator="lessThan">
      <formula>0.5</formula>
    </cfRule>
    <cfRule type="cellIs" dxfId="619" priority="53" stopIfTrue="1" operator="greaterThan">
      <formula>0.75</formula>
    </cfRule>
    <cfRule type="cellIs" dxfId="618" priority="52" stopIfTrue="1" operator="between">
      <formula>0.5</formula>
      <formula>0.75</formula>
    </cfRule>
    <cfRule type="cellIs" dxfId="617" priority="51" stopIfTrue="1" operator="lessThan">
      <formula>0.5</formula>
    </cfRule>
  </conditionalFormatting>
  <conditionalFormatting sqref="G90:G95">
    <cfRule type="containsText" dxfId="616" priority="54" stopIfTrue="1" operator="containsText" text="RED FLAG">
      <formula>NOT(ISERROR(SEARCH("RED FLAG",G90)))</formula>
    </cfRule>
  </conditionalFormatting>
  <conditionalFormatting sqref="G97:G101">
    <cfRule type="cellIs" dxfId="615" priority="41" stopIfTrue="1" operator="between">
      <formula>0.5</formula>
      <formula>0.75</formula>
    </cfRule>
    <cfRule type="cellIs" dxfId="614" priority="44" stopIfTrue="1" operator="lessThan">
      <formula>0.5</formula>
    </cfRule>
    <cfRule type="cellIs" dxfId="613" priority="45" stopIfTrue="1" operator="between">
      <formula>0.5</formula>
      <formula>0.75</formula>
    </cfRule>
    <cfRule type="cellIs" dxfId="612" priority="46" stopIfTrue="1" operator="greaterThan">
      <formula>0.75</formula>
    </cfRule>
    <cfRule type="cellIs" dxfId="611" priority="42" stopIfTrue="1" operator="greaterThan">
      <formula>0.75</formula>
    </cfRule>
    <cfRule type="cellIs" dxfId="610" priority="40" stopIfTrue="1" operator="lessThan">
      <formula>0.5</formula>
    </cfRule>
  </conditionalFormatting>
  <conditionalFormatting sqref="G97:G103">
    <cfRule type="containsText" dxfId="609" priority="43" stopIfTrue="1" operator="containsText" text="RED FLAG">
      <formula>NOT(ISERROR(SEARCH("RED FLAG",G97)))</formula>
    </cfRule>
  </conditionalFormatting>
  <conditionalFormatting sqref="G104:G108 G110:G115 G117:G122 G124:G129">
    <cfRule type="cellIs" dxfId="608" priority="39" stopIfTrue="1" operator="greaterThan">
      <formula>0.75</formula>
    </cfRule>
    <cfRule type="cellIs" dxfId="607" priority="38" stopIfTrue="1" operator="between">
      <formula>0.5</formula>
      <formula>0.75</formula>
    </cfRule>
    <cfRule type="cellIs" dxfId="606" priority="37" stopIfTrue="1" operator="lessThan">
      <formula>0.5</formula>
    </cfRule>
  </conditionalFormatting>
  <conditionalFormatting sqref="G104:G108 G111:G115 G118:G122 G125:G129">
    <cfRule type="cellIs" dxfId="605" priority="35" stopIfTrue="1" operator="greaterThan">
      <formula>0.75</formula>
    </cfRule>
    <cfRule type="cellIs" dxfId="604" priority="34" stopIfTrue="1" operator="between">
      <formula>0.5</formula>
      <formula>0.75</formula>
    </cfRule>
    <cfRule type="cellIs" dxfId="603" priority="33" stopIfTrue="1" operator="lessThan">
      <formula>0.5</formula>
    </cfRule>
  </conditionalFormatting>
  <conditionalFormatting sqref="G104:G131">
    <cfRule type="containsText" dxfId="602" priority="36" stopIfTrue="1" operator="containsText" text="RED FLAG">
      <formula>NOT(ISERROR(SEARCH("RED FLAG",G104)))</formula>
    </cfRule>
  </conditionalFormatting>
  <conditionalFormatting sqref="G132:G136 G138:G143 G145:G152">
    <cfRule type="cellIs" dxfId="601" priority="32" stopIfTrue="1" operator="greaterThan">
      <formula>0.75</formula>
    </cfRule>
    <cfRule type="cellIs" dxfId="600" priority="30" stopIfTrue="1" operator="lessThan">
      <formula>0.5</formula>
    </cfRule>
    <cfRule type="cellIs" dxfId="599" priority="31" stopIfTrue="1" operator="between">
      <formula>0.5</formula>
      <formula>0.75</formula>
    </cfRule>
  </conditionalFormatting>
  <conditionalFormatting sqref="G132:G136 G139:G143 G146:G150">
    <cfRule type="cellIs" dxfId="598" priority="28" stopIfTrue="1" operator="greaterThan">
      <formula>0.75</formula>
    </cfRule>
    <cfRule type="cellIs" dxfId="597" priority="27" stopIfTrue="1" operator="between">
      <formula>0.5</formula>
      <formula>0.75</formula>
    </cfRule>
    <cfRule type="cellIs" dxfId="596" priority="26" stopIfTrue="1" operator="lessThan">
      <formula>0.5</formula>
    </cfRule>
  </conditionalFormatting>
  <conditionalFormatting sqref="G132:G154">
    <cfRule type="containsText" dxfId="595" priority="29" stopIfTrue="1" operator="containsText" text="RED FLAG">
      <formula>NOT(ISERROR(SEARCH("RED FLAG",G132)))</formula>
    </cfRule>
  </conditionalFormatting>
  <conditionalFormatting sqref="G155:G159 G161:G166">
    <cfRule type="cellIs" dxfId="594" priority="25" stopIfTrue="1" operator="greaterThan">
      <formula>0.75</formula>
    </cfRule>
    <cfRule type="cellIs" dxfId="593" priority="24" stopIfTrue="1" operator="between">
      <formula>0.5</formula>
      <formula>0.75</formula>
    </cfRule>
    <cfRule type="cellIs" dxfId="592" priority="23" stopIfTrue="1" operator="lessThan">
      <formula>0.5</formula>
    </cfRule>
  </conditionalFormatting>
  <conditionalFormatting sqref="G155:G159 G162:G166">
    <cfRule type="cellIs" dxfId="591" priority="21" stopIfTrue="1" operator="greaterThan">
      <formula>0.75</formula>
    </cfRule>
    <cfRule type="cellIs" dxfId="590" priority="20" stopIfTrue="1" operator="between">
      <formula>0.5</formula>
      <formula>0.75</formula>
    </cfRule>
    <cfRule type="cellIs" dxfId="589" priority="19" stopIfTrue="1" operator="lessThan">
      <formula>0.5</formula>
    </cfRule>
  </conditionalFormatting>
  <conditionalFormatting sqref="G155:G170">
    <cfRule type="containsText" dxfId="588" priority="22" stopIfTrue="1" operator="containsText" text="RED FLAG">
      <formula>NOT(ISERROR(SEARCH("RED FLAG",G155)))</formula>
    </cfRule>
  </conditionalFormatting>
  <conditionalFormatting sqref="G171:G175 G177:G182 G184:G189 G191:G196 G198:G203">
    <cfRule type="cellIs" dxfId="587" priority="18" stopIfTrue="1" operator="greaterThan">
      <formula>0.75</formula>
    </cfRule>
    <cfRule type="cellIs" dxfId="586" priority="17" stopIfTrue="1" operator="between">
      <formula>0.5</formula>
      <formula>0.75</formula>
    </cfRule>
    <cfRule type="cellIs" dxfId="585" priority="16" stopIfTrue="1" operator="lessThan">
      <formula>0.5</formula>
    </cfRule>
  </conditionalFormatting>
  <conditionalFormatting sqref="G171:G175 G178:G182 G185:G189 G192:G196 G199:G203">
    <cfRule type="cellIs" dxfId="584" priority="14" stopIfTrue="1" operator="greaterThan">
      <formula>0.75</formula>
    </cfRule>
    <cfRule type="cellIs" dxfId="583" priority="13" stopIfTrue="1" operator="between">
      <formula>0.5</formula>
      <formula>0.75</formula>
    </cfRule>
    <cfRule type="cellIs" dxfId="582" priority="12" stopIfTrue="1" operator="lessThan">
      <formula>0.5</formula>
    </cfRule>
  </conditionalFormatting>
  <conditionalFormatting sqref="G171:G196 G198:G205">
    <cfRule type="containsText" dxfId="581" priority="15" stopIfTrue="1" operator="containsText" text="RED FLAG">
      <formula>NOT(ISERROR(SEARCH("RED FLAG",G171)))</formula>
    </cfRule>
  </conditionalFormatting>
  <conditionalFormatting sqref="G207:G212">
    <cfRule type="containsText" dxfId="580" priority="174" stopIfTrue="1" operator="containsText" text="RED FLAG">
      <formula>NOT(ISERROR(SEARCH("RED FLAG",G207)))</formula>
    </cfRule>
  </conditionalFormatting>
  <conditionalFormatting sqref="G208:G212">
    <cfRule type="cellIs" dxfId="579" priority="176" stopIfTrue="1" operator="between">
      <formula>0.5</formula>
      <formula>0.75</formula>
    </cfRule>
    <cfRule type="cellIs" dxfId="578" priority="177" stopIfTrue="1" operator="greaterThan">
      <formula>0.75</formula>
    </cfRule>
    <cfRule type="cellIs" dxfId="577" priority="175" stopIfTrue="1" operator="lessThan">
      <formula>0.5</formula>
    </cfRule>
  </conditionalFormatting>
  <conditionalFormatting sqref="G213:G218 G232:G234 G1:G2 G4:G8 I218:I219 B219:G219 G220">
    <cfRule type="containsText" dxfId="576" priority="566" stopIfTrue="1" operator="containsText" text="RED FLAG">
      <formula>NOT(ISERROR(SEARCH("RED FLAG",B1)))</formula>
    </cfRule>
  </conditionalFormatting>
  <conditionalFormatting sqref="G213:G218 I218:I219 B219:G219">
    <cfRule type="cellIs" dxfId="575" priority="1275" stopIfTrue="1" operator="lessThan">
      <formula>0.5</formula>
    </cfRule>
    <cfRule type="cellIs" dxfId="574" priority="1276" stopIfTrue="1" operator="between">
      <formula>0.5</formula>
      <formula>0.75</formula>
    </cfRule>
    <cfRule type="cellIs" dxfId="573" priority="1277" stopIfTrue="1" operator="greaterThan">
      <formula>0.75</formula>
    </cfRule>
  </conditionalFormatting>
  <conditionalFormatting sqref="G214:G218">
    <cfRule type="cellIs" dxfId="572" priority="1038" stopIfTrue="1" operator="lessThan">
      <formula>0.5</formula>
    </cfRule>
    <cfRule type="cellIs" dxfId="571" priority="1039" stopIfTrue="1" operator="between">
      <formula>0.5</formula>
      <formula>0.75</formula>
    </cfRule>
    <cfRule type="cellIs" dxfId="570" priority="1040" stopIfTrue="1" operator="greaterThan">
      <formula>0.75</formula>
    </cfRule>
  </conditionalFormatting>
  <conditionalFormatting sqref="G217:G218">
    <cfRule type="cellIs" dxfId="569" priority="543" stopIfTrue="1" operator="lessThan">
      <formula>0.5</formula>
    </cfRule>
    <cfRule type="cellIs" dxfId="568" priority="544" stopIfTrue="1" operator="between">
      <formula>0.5</formula>
      <formula>0.75</formula>
    </cfRule>
    <cfRule type="cellIs" dxfId="567" priority="545" stopIfTrue="1" operator="greaterThan">
      <formula>0.75</formula>
    </cfRule>
  </conditionalFormatting>
  <conditionalFormatting sqref="G222:G230">
    <cfRule type="cellIs" dxfId="566" priority="11" stopIfTrue="1" operator="greaterThan">
      <formula>0.75</formula>
    </cfRule>
    <cfRule type="cellIs" dxfId="565" priority="10" stopIfTrue="1" operator="between">
      <formula>0.5</formula>
      <formula>0.75</formula>
    </cfRule>
    <cfRule type="cellIs" dxfId="564" priority="9" stopIfTrue="1" operator="lessThan">
      <formula>0.5</formula>
    </cfRule>
    <cfRule type="containsText" dxfId="563" priority="8" stopIfTrue="1" operator="containsText" text="RED FLAG">
      <formula>NOT(ISERROR(SEARCH("RED FLAG",G222)))</formula>
    </cfRule>
  </conditionalFormatting>
  <conditionalFormatting sqref="G228:G230 G232">
    <cfRule type="cellIs" dxfId="562" priority="5" stopIfTrue="1" operator="lessThan">
      <formula>0.5</formula>
    </cfRule>
    <cfRule type="cellIs" dxfId="561" priority="7" stopIfTrue="1" operator="greaterThan">
      <formula>0.75</formula>
    </cfRule>
    <cfRule type="cellIs" dxfId="560" priority="6" stopIfTrue="1" operator="between">
      <formula>0.5</formula>
      <formula>0.75</formula>
    </cfRule>
  </conditionalFormatting>
  <conditionalFormatting sqref="G232">
    <cfRule type="cellIs" dxfId="559" priority="1290" stopIfTrue="1" operator="lessThan">
      <formula>0.5</formula>
    </cfRule>
    <cfRule type="cellIs" dxfId="558" priority="1291" stopIfTrue="1" operator="between">
      <formula>0.5</formula>
      <formula>0.75</formula>
    </cfRule>
    <cfRule type="cellIs" dxfId="557" priority="1292" stopIfTrue="1" operator="greaterThan">
      <formula>0.75</formula>
    </cfRule>
  </conditionalFormatting>
  <conditionalFormatting sqref="G235:G244">
    <cfRule type="cellIs" dxfId="556" priority="3" stopIfTrue="1" operator="between">
      <formula>0.5</formula>
      <formula>0.75</formula>
    </cfRule>
    <cfRule type="cellIs" dxfId="555" priority="2" stopIfTrue="1" operator="lessThan">
      <formula>0.5</formula>
    </cfRule>
    <cfRule type="cellIs" dxfId="554" priority="4" stopIfTrue="1" operator="greaterThan">
      <formula>0.75</formula>
    </cfRule>
  </conditionalFormatting>
  <conditionalFormatting sqref="G235:G1048576">
    <cfRule type="containsText" dxfId="553" priority="1" stopIfTrue="1" operator="containsText" text="RED FLAG">
      <formula>NOT(ISERROR(SEARCH("RED FLAG",G235)))</formula>
    </cfRule>
  </conditionalFormatting>
  <conditionalFormatting sqref="I18">
    <cfRule type="containsText" dxfId="552" priority="201" operator="containsText" text="Red Flag">
      <formula>NOT(ISERROR(SEARCH("Red Flag",I18)))</formula>
    </cfRule>
  </conditionalFormatting>
  <conditionalFormatting sqref="I29">
    <cfRule type="containsText" dxfId="551" priority="202" operator="containsText" text="Red Flag">
      <formula>NOT(ISERROR(SEARCH("Red Flag",I29)))</formula>
    </cfRule>
  </conditionalFormatting>
  <conditionalFormatting sqref="I79">
    <cfRule type="cellIs" dxfId="550" priority="196" stopIfTrue="1" operator="greaterThan">
      <formula>0.75</formula>
    </cfRule>
    <cfRule type="cellIs" dxfId="549" priority="195" stopIfTrue="1" operator="between">
      <formula>0.5</formula>
      <formula>0.75</formula>
    </cfRule>
    <cfRule type="cellIs" dxfId="548" priority="194" stopIfTrue="1" operator="lessThan">
      <formula>0.5</formula>
    </cfRule>
    <cfRule type="containsText" dxfId="547" priority="193" stopIfTrue="1" operator="containsText" text="RED FLAG">
      <formula>NOT(ISERROR(SEARCH("RED FLAG",I79)))</formula>
    </cfRule>
  </conditionalFormatting>
  <conditionalFormatting sqref="I232">
    <cfRule type="cellIs" dxfId="546" priority="199" stopIfTrue="1" operator="between">
      <formula>0.5</formula>
      <formula>0.75</formula>
    </cfRule>
    <cfRule type="cellIs" dxfId="545" priority="198" stopIfTrue="1" operator="lessThan">
      <formula>0.5</formula>
    </cfRule>
    <cfRule type="containsText" dxfId="544" priority="197" stopIfTrue="1" operator="containsText" text="RED FLAG">
      <formula>NOT(ISERROR(SEARCH("RED FLAG",I232)))</formula>
    </cfRule>
    <cfRule type="cellIs" dxfId="543" priority="200" stopIfTrue="1" operator="greaterThan">
      <formula>0.75</formula>
    </cfRule>
  </conditionalFormatting>
  <dataValidations count="6">
    <dataValidation type="list" allowBlank="1" showInputMessage="1" showErrorMessage="1" sqref="C18 C208:C212 C40 C29 C223:C227" xr:uid="{00000000-0002-0000-0E00-000000000000}">
      <formula1>"1,2,3,NA"</formula1>
    </dataValidation>
    <dataValidation type="list" allowBlank="1" showInputMessage="1" showErrorMessage="1" sqref="C192:C196 C13:C17 C35:C39 C44:C48 C60:C64 C22:C26 C67:C71 C146:C150 C74:C79 C51:C55 C97:C101 C104:C108 C111:C115 C118:C122 C125:C129 C132:C136 C139:C143 C218 C155:C159 C162:C166 C171:C175 C178:C182 C185:C189 C199:C203 C82:C86 C90:C94 C232 C228:C230 C213:C216" xr:uid="{00000000-0002-0000-0E00-000001000000}">
      <formula1>"Yes,No,NA"</formula1>
    </dataValidation>
    <dataValidation type="list" allowBlank="1" showInputMessage="1" showErrorMessage="1" sqref="C27" xr:uid="{00000000-0002-0000-0E00-000002000000}">
      <formula1>"1,2,3,4,NA"</formula1>
    </dataValidation>
    <dataValidation type="list" allowBlank="1" showInputMessage="1" showErrorMessage="1" sqref="C217" xr:uid="{00000000-0002-0000-0E00-000003000000}">
      <formula1>"Yes,No,NA,Don't know"</formula1>
    </dataValidation>
    <dataValidation type="list" allowBlank="1" showInputMessage="1" showErrorMessage="1" sqref="C12 C21 C177 C184 C198 C59 C66 C73 C81 C89 C96 C110 C117 C124 C191 C131 C138 C145 C103 C154 C161 C170 C34 C43 C50" xr:uid="{00000000-0002-0000-0E00-000004000000}">
      <formula1>"Yes,No"</formula1>
    </dataValidation>
    <dataValidation type="list" allowBlank="1" showInputMessage="1" showErrorMessage="1" sqref="C236:C244" xr:uid="{00000000-0002-0000-0E00-000005000000}">
      <formula1>"1,2,3"</formula1>
    </dataValidation>
  </dataValidations>
  <pageMargins left="0.25" right="0.25" top="0.75000000000000011" bottom="0.75000000000000011" header="0.30000000000000004" footer="0.30000000000000004"/>
  <pageSetup paperSize="9" scale="91" fitToHeight="10" orientation="landscape" r:id="rId1"/>
  <headerFooter>
    <oddFooter>&amp;C&amp;A -&amp;P</oddFooter>
  </headerFooter>
  <rowBreaks count="11" manualBreakCount="11">
    <brk id="26" max="4" man="1"/>
    <brk id="48" max="4" man="1"/>
    <brk id="71" max="4" man="1"/>
    <brk id="94" max="4" man="1"/>
    <brk id="115" max="4" man="1"/>
    <brk id="136" max="4" man="1"/>
    <brk id="150" max="4" man="1"/>
    <brk id="175" max="4" man="1"/>
    <brk id="196" max="4" man="1"/>
    <brk id="218" max="4" man="1"/>
    <brk id="232"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0070C0"/>
    <pageSetUpPr fitToPage="1"/>
  </sheetPr>
  <dimension ref="A1:K95"/>
  <sheetViews>
    <sheetView zoomScaleNormal="100" zoomScaleSheetLayoutView="100" zoomScalePageLayoutView="80" workbookViewId="0">
      <selection activeCell="C4" sqref="C4"/>
    </sheetView>
  </sheetViews>
  <sheetFormatPr defaultColWidth="11" defaultRowHeight="15.6"/>
  <cols>
    <col min="1" max="1" width="4.69921875" style="6" customWidth="1"/>
    <col min="2" max="2" width="82.19921875" style="8" customWidth="1"/>
    <col min="3" max="3" width="5.19921875" style="28" customWidth="1"/>
    <col min="4" max="4" width="3.69921875" style="22" customWidth="1"/>
    <col min="5" max="5" width="3.69921875" style="22" hidden="1" customWidth="1"/>
    <col min="6" max="6" width="5.19921875" style="28" hidden="1" customWidth="1"/>
    <col min="7" max="7" width="5.19921875" style="22" customWidth="1"/>
    <col min="8" max="8" width="37.69921875" style="71" customWidth="1"/>
    <col min="9" max="9" width="9.69921875" style="28" customWidth="1"/>
    <col min="10" max="16384" width="11" style="22"/>
  </cols>
  <sheetData>
    <row r="1" spans="1:11">
      <c r="A1" s="10"/>
      <c r="B1" s="43" t="str">
        <f>Language!A1339</f>
        <v>11- ANTIMICROBIAL SUSCEPTIBILITY TESTING (AST) BASICS</v>
      </c>
      <c r="C1" s="51" t="str">
        <f>IF(COUNT(G3:G152)=0,"???",AVERAGE(G3:G152))</f>
        <v>???</v>
      </c>
      <c r="H1" s="192" t="str">
        <f>'Facility 1'!H1</f>
        <v>Comments</v>
      </c>
    </row>
    <row r="2" spans="1:11" ht="16.2" thickBot="1">
      <c r="A2" s="10"/>
      <c r="B2" s="202" t="str">
        <f>Language!A1340</f>
        <v>Please note: all questions refer only to clinical patient isolates, NOT to research or environmental isolates</v>
      </c>
      <c r="C2" s="19"/>
      <c r="H2" s="193"/>
    </row>
    <row r="3" spans="1:11" ht="16.2" thickBot="1">
      <c r="A3" s="160"/>
      <c r="B3" s="34" t="str">
        <f>Language!A1341</f>
        <v>ANTIBIOTIC DISK AND GRADIENT STRIPS MAINTENANCE</v>
      </c>
      <c r="C3" s="44" t="str">
        <f>IF(COUNTBLANK(C4:C13)=10,"???",IF(COUNT(G4:G13)=0,"NA",AVERAGE(G4:G13)))</f>
        <v>???</v>
      </c>
      <c r="H3" s="427"/>
    </row>
    <row r="4" spans="1:11" ht="27.6" customHeight="1">
      <c r="A4" s="76" t="s">
        <v>6310</v>
      </c>
      <c r="B4" s="20" t="str">
        <f>Language!A1342</f>
        <v>Do the antibiotic disks and strips come with a certificate of analysis from the manufacturer ensuring that they were tested and performed according to ISO quality standards?</v>
      </c>
      <c r="C4" s="27"/>
      <c r="F4" s="29">
        <f t="shared" ref="F4:F13" si="0">C4</f>
        <v>0</v>
      </c>
      <c r="G4" s="18" t="str">
        <f>IF(F4="Yes",1,IF(F4="No",0,"'"))</f>
        <v>'</v>
      </c>
      <c r="H4" s="430"/>
    </row>
    <row r="5" spans="1:11" ht="27.6" customHeight="1">
      <c r="A5" s="76" t="s">
        <v>6311</v>
      </c>
      <c r="B5" s="20" t="str">
        <f>Language!A1343</f>
        <v>Are the packages not currently in use stored unopened and in their original packaging in order to prevent moisture ingress?</v>
      </c>
      <c r="C5" s="27"/>
      <c r="F5" s="29">
        <f t="shared" si="0"/>
        <v>0</v>
      </c>
      <c r="G5" s="18" t="str">
        <f t="shared" ref="G5:G13" si="1">IF(F5="Yes",1,IF(F5="No",0,"'"))</f>
        <v>'</v>
      </c>
      <c r="H5" s="430"/>
    </row>
    <row r="6" spans="1:11">
      <c r="A6" s="76" t="s">
        <v>6312</v>
      </c>
      <c r="B6" s="20" t="str">
        <f>Language!A1344</f>
        <v>Are unopened antibiotic disks and strips stored in a non-defrosting freezer?</v>
      </c>
      <c r="C6" s="27"/>
      <c r="F6" s="29">
        <f t="shared" si="0"/>
        <v>0</v>
      </c>
      <c r="G6" s="18" t="str">
        <f t="shared" si="1"/>
        <v>'</v>
      </c>
      <c r="H6" s="430"/>
    </row>
    <row r="7" spans="1:11" ht="27.6" customHeight="1">
      <c r="A7" s="76" t="s">
        <v>6313</v>
      </c>
      <c r="B7" s="127" t="str">
        <f>Language!A1345</f>
        <v>If the antibiotic disk cartridge has a cap, is the cap replaced each time the cartridge is opened?</v>
      </c>
      <c r="C7" s="27"/>
      <c r="F7" s="29">
        <f t="shared" si="0"/>
        <v>0</v>
      </c>
      <c r="G7" s="18" t="str">
        <f t="shared" si="1"/>
        <v>'</v>
      </c>
      <c r="H7" s="430"/>
    </row>
    <row r="8" spans="1:11" ht="55.2" customHeight="1">
      <c r="A8" s="76" t="s">
        <v>6314</v>
      </c>
      <c r="B8" s="20" t="str">
        <f>Language!A1346</f>
        <v>Once opened, are in-use antibiotic disks stored in such a way that the lot number and expiration date of each disk is always traceable? (When individual disks are removed and transferred to secondary containers, lot numbers may become mixed and expired disks may inadvertently be used.)</v>
      </c>
      <c r="C8" s="27"/>
      <c r="F8" s="29">
        <f t="shared" si="0"/>
        <v>0</v>
      </c>
      <c r="G8" s="18" t="str">
        <f t="shared" si="1"/>
        <v>'</v>
      </c>
      <c r="H8" s="430"/>
    </row>
    <row r="9" spans="1:11" ht="27.6" customHeight="1">
      <c r="A9" s="76" t="s">
        <v>6315</v>
      </c>
      <c r="B9" s="20" t="str">
        <f>Language!A1347</f>
        <v xml:space="preserve">Are the in-use antibiotic disks and strips stored in a tightly sealed container with active desiccants? </v>
      </c>
      <c r="C9" s="27"/>
      <c r="F9" s="29">
        <f t="shared" si="0"/>
        <v>0</v>
      </c>
      <c r="G9" s="18" t="str">
        <f t="shared" si="1"/>
        <v>'</v>
      </c>
      <c r="H9" s="430"/>
      <c r="I9" s="8"/>
      <c r="J9" s="204"/>
    </row>
    <row r="10" spans="1:11" ht="27.6" customHeight="1">
      <c r="A10" s="76" t="s">
        <v>6316</v>
      </c>
      <c r="B10" s="20" t="str">
        <f>Language!A1348</f>
        <v>Do the desiccants change color as moisture levels increase (indicating the need to replace or recharge)?</v>
      </c>
      <c r="C10" s="27"/>
      <c r="F10" s="29">
        <f t="shared" si="0"/>
        <v>0</v>
      </c>
      <c r="G10" s="18" t="str">
        <f t="shared" si="1"/>
        <v>'</v>
      </c>
      <c r="H10" s="430"/>
      <c r="J10" s="204"/>
    </row>
    <row r="11" spans="1:11" ht="27.6" customHeight="1">
      <c r="A11" s="76" t="s">
        <v>6317</v>
      </c>
      <c r="B11" s="127" t="str">
        <f>Language!A1349</f>
        <v xml:space="preserve">If desiccants do not have a color indicator, are colorless desiccants replaced at least monthly? </v>
      </c>
      <c r="C11" s="27"/>
      <c r="F11" s="29">
        <f t="shared" si="0"/>
        <v>0</v>
      </c>
      <c r="G11" s="18" t="str">
        <f t="shared" si="1"/>
        <v>'</v>
      </c>
      <c r="H11" s="430"/>
      <c r="J11" s="204"/>
    </row>
    <row r="12" spans="1:11" ht="27.6" customHeight="1">
      <c r="A12" s="76" t="s">
        <v>6318</v>
      </c>
      <c r="B12" s="20" t="str">
        <f>Language!A1350</f>
        <v>Are the containers holding open antibiotic disks/strips stored in a refrigerator or non-defrosting freezer when not in use?</v>
      </c>
      <c r="C12" s="27"/>
      <c r="F12" s="29">
        <f t="shared" si="0"/>
        <v>0</v>
      </c>
      <c r="G12" s="18" t="str">
        <f t="shared" si="1"/>
        <v>'</v>
      </c>
      <c r="H12" s="430"/>
    </row>
    <row r="13" spans="1:11" ht="27.6" customHeight="1">
      <c r="A13" s="76" t="s">
        <v>6319</v>
      </c>
      <c r="B13" s="20" t="str">
        <f>Language!A1351</f>
        <v>Are the containers holding open antibiotic disks/strips allowed to equilibrate to room temperature before opening to minimize condensation (typically 1 hour)</v>
      </c>
      <c r="C13" s="27"/>
      <c r="F13" s="29">
        <f t="shared" si="0"/>
        <v>0</v>
      </c>
      <c r="G13" s="18" t="str">
        <f t="shared" si="1"/>
        <v>'</v>
      </c>
      <c r="H13" s="430"/>
    </row>
    <row r="14" spans="1:11" ht="16.2" thickBot="1">
      <c r="A14" s="16"/>
      <c r="B14" s="444"/>
      <c r="C14" s="227"/>
      <c r="D14" s="487"/>
      <c r="E14" s="194"/>
      <c r="F14" s="194"/>
      <c r="G14" s="194"/>
      <c r="H14" s="444"/>
      <c r="I14" s="22"/>
      <c r="J14" s="194"/>
      <c r="K14" s="194"/>
    </row>
    <row r="15" spans="1:11" ht="16.2" thickBot="1">
      <c r="A15" s="160"/>
      <c r="B15" s="34" t="str">
        <f>Language!A1352</f>
        <v>INOCULUM PREPARATION</v>
      </c>
      <c r="C15" s="44" t="str">
        <f>IF(COUNTBLANK(C16:C24)=9,"???",IF(COUNT(G16:G24)=0,"NA",AVERAGE(G16:G24)))</f>
        <v>???</v>
      </c>
      <c r="E15" s="28"/>
      <c r="G15" s="28"/>
      <c r="H15" s="427"/>
    </row>
    <row r="16" spans="1:11" ht="27.6" customHeight="1">
      <c r="A16" s="118" t="s">
        <v>6320</v>
      </c>
      <c r="B16" s="8" t="str">
        <f>Language!A1353</f>
        <v>When preparing an inoculum using the colony suspension method, are colonies less than 18 hours old ever used?</v>
      </c>
      <c r="C16" s="27"/>
      <c r="F16" s="29">
        <f t="shared" ref="F16:F24" si="2">C16</f>
        <v>0</v>
      </c>
      <c r="G16" s="18" t="str">
        <f>IF(F16="No",1,IF(F16="Yes",0,"'"))</f>
        <v>'</v>
      </c>
      <c r="H16" s="430"/>
    </row>
    <row r="17" spans="1:9" ht="27.6" customHeight="1">
      <c r="A17" s="118" t="s">
        <v>6321</v>
      </c>
      <c r="B17" s="8" t="str">
        <f>Language!A1354</f>
        <v>When preparing an inoculum using the colony suspension method, are colonies more than 24 hours old ever used?</v>
      </c>
      <c r="C17" s="27"/>
      <c r="F17" s="29">
        <f t="shared" si="2"/>
        <v>0</v>
      </c>
      <c r="G17" s="18" t="str">
        <f>IF(F17="No",1,IF(F17="Yes",0,"'"))</f>
        <v>'</v>
      </c>
      <c r="H17" s="430"/>
    </row>
    <row r="18" spans="1:9" ht="27.6" customHeight="1">
      <c r="A18" s="118" t="s">
        <v>6322</v>
      </c>
      <c r="B18" s="8" t="str">
        <f>Language!A1355</f>
        <v xml:space="preserve">Observe an AST inoculum preparation. Do technologists use only individual, well-isolated colonies of the same morphological type? </v>
      </c>
      <c r="C18" s="27"/>
      <c r="F18" s="29">
        <f t="shared" si="2"/>
        <v>0</v>
      </c>
      <c r="G18" s="18" t="str">
        <f>IF(F18="Yes",1,IF(F18="No",0,"'"))</f>
        <v>'</v>
      </c>
      <c r="H18" s="430"/>
    </row>
    <row r="19" spans="1:9" ht="27.6" customHeight="1">
      <c r="A19" s="118" t="s">
        <v>6323</v>
      </c>
      <c r="B19" s="8" t="str">
        <f>Language!A1356</f>
        <v>Are colonies taken only from non-selective media, such as blood agar  ( MacConkey agar is acceptable)</v>
      </c>
      <c r="C19" s="27"/>
      <c r="F19" s="29">
        <f t="shared" si="2"/>
        <v>0</v>
      </c>
      <c r="G19" s="18" t="str">
        <f>IF(F19="Yes",1,IF(F19="No",0,"'"))</f>
        <v>'</v>
      </c>
      <c r="H19" s="430"/>
    </row>
    <row r="20" spans="1:9" ht="27.6" customHeight="1">
      <c r="A20" s="118" t="s">
        <v>6324</v>
      </c>
      <c r="B20" s="8" t="str">
        <f>Language!A1357</f>
        <v>Does the lab ever intentionally mix two different organisms in the same inoculum for AST?</v>
      </c>
      <c r="C20" s="27"/>
      <c r="F20" s="29">
        <f t="shared" si="2"/>
        <v>0</v>
      </c>
      <c r="G20" s="18" t="str">
        <f>IF(F20="No",1,IF(F20="Yes",0,"'"))</f>
        <v>'</v>
      </c>
      <c r="H20" s="430"/>
      <c r="I20" s="91" t="str">
        <f>IF(C20="Yes","Red Flag","'")</f>
        <v>'</v>
      </c>
    </row>
    <row r="21" spans="1:9">
      <c r="A21" s="118" t="s">
        <v>6325</v>
      </c>
      <c r="B21" s="8" t="str">
        <f>Language!A1358</f>
        <v>Is an appropriate, sterile inoculation medium (TSB or saline) used?</v>
      </c>
      <c r="C21" s="27"/>
      <c r="F21" s="29">
        <f t="shared" si="2"/>
        <v>0</v>
      </c>
      <c r="G21" s="18" t="str">
        <f>IF(F21="Yes",1,IF(F21="No",0,"'"))</f>
        <v>'</v>
      </c>
      <c r="H21" s="430"/>
    </row>
    <row r="22" spans="1:9" ht="27.6" customHeight="1">
      <c r="A22" s="118" t="s">
        <v>6326</v>
      </c>
      <c r="B22" s="8" t="str">
        <f>Language!A1359</f>
        <v>Do records indicate that the saline solution is tested for sterility on a regular basis? (Preferably at least weekly)</v>
      </c>
      <c r="C22" s="27"/>
      <c r="F22" s="29">
        <f t="shared" si="2"/>
        <v>0</v>
      </c>
      <c r="G22" s="18" t="str">
        <f t="shared" ref="G22:G23" si="3">IF(F22="Yes",1,IF(F22="No",0,"'"))</f>
        <v>'</v>
      </c>
      <c r="H22" s="430"/>
    </row>
    <row r="23" spans="1:9">
      <c r="A23" s="118" t="s">
        <v>6327</v>
      </c>
      <c r="B23" s="8" t="str">
        <f>Language!A1360</f>
        <v>Is the inoculum brought to a density equivalent to 0.5 McFarland?</v>
      </c>
      <c r="C23" s="27"/>
      <c r="F23" s="29">
        <f t="shared" si="2"/>
        <v>0</v>
      </c>
      <c r="G23" s="18" t="str">
        <f t="shared" si="3"/>
        <v>'</v>
      </c>
      <c r="H23" s="430"/>
    </row>
    <row r="24" spans="1:9">
      <c r="A24" s="118" t="s">
        <v>6328</v>
      </c>
      <c r="B24" s="8" t="str">
        <f>Language!A1361</f>
        <v>How is the inoculum density checked for accuracy?</v>
      </c>
      <c r="C24" s="27"/>
      <c r="F24" s="29">
        <f t="shared" si="2"/>
        <v>0</v>
      </c>
      <c r="G24" s="18" t="str">
        <f>IF(F24=1,1,IF(F24=2,0.75,IF(F24=3,0,"'")))</f>
        <v>'</v>
      </c>
      <c r="H24" s="430"/>
    </row>
    <row r="25" spans="1:9" ht="27.6" customHeight="1" thickBot="1">
      <c r="A25" s="10"/>
      <c r="B25" s="439" t="str">
        <f>Language!A1362</f>
        <v>1: Calibrated densitometer/turbidity meter - 2: Visual comparison to a 0.5 McFarland standard that is not expired (check date) - 3 : Neither of the above</v>
      </c>
      <c r="C25" s="22"/>
      <c r="F25" s="29"/>
      <c r="G25" s="18"/>
    </row>
    <row r="26" spans="1:9" ht="16.2" thickBot="1">
      <c r="A26" s="160"/>
      <c r="B26" s="34" t="str">
        <f>Language!A1363</f>
        <v>INOCULATION/INCUBATION</v>
      </c>
      <c r="C26" s="44" t="str">
        <f>IF(COUNTBLANK(C27:C46)=20,"???",IF(COUNT(G27:G46)=0,"NA",AVERAGE(G27:G46)))</f>
        <v>???</v>
      </c>
      <c r="E26" s="28"/>
      <c r="G26" s="28"/>
      <c r="H26" s="427"/>
    </row>
    <row r="27" spans="1:9">
      <c r="A27" s="76" t="s">
        <v>6329</v>
      </c>
      <c r="B27" s="13" t="str">
        <f>Language!A1364</f>
        <v>Does the lab ever use agar other than Mueller Hinton for AST of non-fastidious organisms?</v>
      </c>
      <c r="C27" s="27"/>
      <c r="F27" s="29">
        <f>C27</f>
        <v>0</v>
      </c>
      <c r="G27" s="18" t="str">
        <f>IF(F27="No",1,IF(F27="Yes",0,"'"))</f>
        <v>'</v>
      </c>
      <c r="H27" s="430"/>
    </row>
    <row r="28" spans="1:9" ht="27.6" customHeight="1">
      <c r="A28" s="76" t="s">
        <v>6330</v>
      </c>
      <c r="B28" s="20" t="str">
        <f>Language!A1365</f>
        <v>Does the lab ever use agar other than Mueller Hinton with Blood for AST of Streptococcus pneumoniae?</v>
      </c>
      <c r="C28" s="27"/>
      <c r="F28" s="29">
        <f>C28</f>
        <v>0</v>
      </c>
      <c r="G28" s="18" t="str">
        <f>IF(F28="No",1,IF(F28="Yes",0,"'"))</f>
        <v>'</v>
      </c>
      <c r="H28" s="430"/>
    </row>
    <row r="29" spans="1:9">
      <c r="A29" s="10"/>
      <c r="B29" s="20" t="str">
        <f>Language!A1366</f>
        <v>Observe a MH plate being inoculated.</v>
      </c>
      <c r="C29" s="22"/>
      <c r="F29" s="29"/>
      <c r="G29" s="18"/>
      <c r="H29" s="197"/>
    </row>
    <row r="30" spans="1:9">
      <c r="A30" s="76" t="s">
        <v>6331</v>
      </c>
      <c r="B30" s="37" t="str">
        <f>Language!A1367</f>
        <v>Is the inoculum always used within 15 minutes of preparation?</v>
      </c>
      <c r="C30" s="27"/>
      <c r="F30" s="29">
        <f>C30</f>
        <v>0</v>
      </c>
      <c r="G30" s="18" t="str">
        <f>IF(F30="Yes",1,IF(F30="No",0,"'"))</f>
        <v>'</v>
      </c>
      <c r="H30" s="430"/>
    </row>
    <row r="31" spans="1:9">
      <c r="A31" s="76" t="s">
        <v>6332</v>
      </c>
      <c r="B31" s="37" t="str">
        <f>Language!A1368</f>
        <v>Is a sterile swab used to inoculate the plate?</v>
      </c>
      <c r="C31" s="27"/>
      <c r="F31" s="29">
        <f>C31</f>
        <v>0</v>
      </c>
      <c r="G31" s="18" t="str">
        <f t="shared" ref="G31:G32" si="4">IF(F31="Yes",1,IF(F31="No",0,"'"))</f>
        <v>'</v>
      </c>
      <c r="H31" s="430"/>
    </row>
    <row r="32" spans="1:9">
      <c r="A32" s="76" t="s">
        <v>6333</v>
      </c>
      <c r="B32" s="37" t="str">
        <f>Language!A1369</f>
        <v xml:space="preserve">Is the inoculum spread in a way that will create an even lawn? </v>
      </c>
      <c r="C32" s="27"/>
      <c r="F32" s="29">
        <f>C32</f>
        <v>0</v>
      </c>
      <c r="G32" s="18" t="str">
        <f t="shared" si="4"/>
        <v>'</v>
      </c>
      <c r="H32" s="430"/>
    </row>
    <row r="33" spans="1:10" ht="41.55" customHeight="1">
      <c r="A33" s="10"/>
      <c r="B33" s="439" t="str">
        <f>Language!A1370</f>
        <v>To create an even lawn, streak a line from top to bottom, then spread left to right across that line from top to bottom. Rotate plate 60° and repeat from beginning; rotate plate another 60° and repeat again.</v>
      </c>
      <c r="C33" s="22"/>
      <c r="F33" s="29"/>
      <c r="G33" s="18"/>
      <c r="H33" s="197"/>
    </row>
    <row r="34" spans="1:10" ht="27.6" customHeight="1">
      <c r="A34" s="76" t="s">
        <v>6334</v>
      </c>
      <c r="B34" s="37" t="str">
        <f>Language!A1371</f>
        <v>Before applying disks/strips, are inoculated MH plates allowed to sit, lid-ajar, for 3 to no more than 15 minutes to allow for absorption of excess surface moisture?</v>
      </c>
      <c r="C34" s="27"/>
      <c r="F34" s="29">
        <f>C34</f>
        <v>0</v>
      </c>
      <c r="G34" s="18" t="str">
        <f>IF(F34="Yes",1,IF(F34="No",0,"'"))</f>
        <v>'</v>
      </c>
      <c r="H34" s="131"/>
    </row>
    <row r="35" spans="1:10">
      <c r="A35" s="76" t="s">
        <v>6335</v>
      </c>
      <c r="B35" s="20" t="str">
        <f>Language!A1372</f>
        <v>Are disks/strips ever moved after being placed on the agar?</v>
      </c>
      <c r="C35" s="27"/>
      <c r="F35" s="29">
        <f>C35</f>
        <v>0</v>
      </c>
      <c r="G35" s="18" t="str">
        <f>IF(F35="No",1,IF(F35="Yes",0,"'"))</f>
        <v>'</v>
      </c>
      <c r="H35" s="131"/>
    </row>
    <row r="36" spans="1:10" ht="27.6" customHeight="1">
      <c r="A36" s="76" t="s">
        <v>6336</v>
      </c>
      <c r="B36" s="127" t="str">
        <f>Language!A1373</f>
        <v>When using multi-disk dispensers, is the bottom of the dispenser disinfected between isolates?</v>
      </c>
      <c r="C36" s="27"/>
      <c r="F36" s="29">
        <f>C36</f>
        <v>0</v>
      </c>
      <c r="G36" s="18" t="str">
        <f>IF(F36="Yes",1,IF(F36="No",0,"'"))</f>
        <v>'</v>
      </c>
      <c r="H36" s="131"/>
      <c r="I36" s="8"/>
    </row>
    <row r="37" spans="1:10">
      <c r="A37" s="76" t="s">
        <v>6337</v>
      </c>
      <c r="B37" s="20" t="str">
        <f>Language!A1374</f>
        <v>Are AST plates incubated within 15 minutes of placing disks/strips?</v>
      </c>
      <c r="C37" s="27"/>
      <c r="F37" s="29">
        <f>C37</f>
        <v>0</v>
      </c>
      <c r="G37" s="18" t="str">
        <f t="shared" ref="G37:G38" si="5">IF(F37="Yes",1,IF(F37="No",0,"'"))</f>
        <v>'</v>
      </c>
      <c r="H37" s="131"/>
    </row>
    <row r="38" spans="1:10">
      <c r="A38" s="76" t="s">
        <v>6338</v>
      </c>
      <c r="B38" s="20" t="str">
        <f>Language!A1375</f>
        <v>After AST inoculation, are “purity plates” made from the remaining suspension?</v>
      </c>
      <c r="C38" s="27"/>
      <c r="F38" s="29">
        <f>C38</f>
        <v>0</v>
      </c>
      <c r="G38" s="18" t="str">
        <f t="shared" si="5"/>
        <v>'</v>
      </c>
      <c r="H38" s="131"/>
      <c r="J38" s="204"/>
    </row>
    <row r="39" spans="1:10" ht="41.55" customHeight="1">
      <c r="A39" s="10"/>
      <c r="B39" s="464" t="str">
        <f>Language!A1376</f>
        <v>A purity plate is a light subculture of the inoculum that is made to ensure the inoculum was not mixed or contaminated; usually streaked like a urine to ensure visualization of individual colonies and checked for purity when reading AST results</v>
      </c>
      <c r="C39" s="60"/>
      <c r="F39" s="29"/>
      <c r="G39" s="18"/>
    </row>
    <row r="40" spans="1:10">
      <c r="A40" s="76" t="s">
        <v>6339</v>
      </c>
      <c r="B40" s="20" t="str">
        <f>Language!A1377</f>
        <v>Are AST plates for non-fastidious organisms ever incubated in CO2?</v>
      </c>
      <c r="C40" s="27"/>
      <c r="F40" s="29">
        <f>C40</f>
        <v>0</v>
      </c>
      <c r="G40" s="18" t="str">
        <f>IF(F40="No",1,IF(F40="Yes",0,"'"))</f>
        <v>'</v>
      </c>
      <c r="H40" s="430"/>
    </row>
    <row r="41" spans="1:10">
      <c r="A41" s="76" t="s">
        <v>6340</v>
      </c>
      <c r="B41" s="20" t="str">
        <f>Language!A1378</f>
        <v>Are AST plates for S. pneumoniae incubated in 5% CO2?</v>
      </c>
      <c r="C41" s="27"/>
      <c r="F41" s="29">
        <f>C41</f>
        <v>0</v>
      </c>
      <c r="G41" s="18" t="str">
        <f>IF(F41="Yes",1,IF(F41="No",0,"'"))</f>
        <v>'</v>
      </c>
      <c r="H41" s="430"/>
    </row>
    <row r="42" spans="1:10">
      <c r="A42" s="10"/>
      <c r="B42" s="20" t="str">
        <f>Language!A1379</f>
        <v>Observe some currently incubating and/or recently read Mueller Hinton AST plates.</v>
      </c>
      <c r="C42" s="22"/>
      <c r="F42" s="29"/>
      <c r="G42" s="18"/>
      <c r="H42" s="197"/>
    </row>
    <row r="43" spans="1:10">
      <c r="A43" s="76" t="s">
        <v>6341</v>
      </c>
      <c r="B43" s="37" t="str">
        <f>Language!A1380</f>
        <v>Are the lawns of growth confluent (no gaps or individual colonies showing)?</v>
      </c>
      <c r="C43" s="27"/>
      <c r="F43" s="29">
        <f>C43</f>
        <v>0</v>
      </c>
      <c r="G43" s="18" t="str">
        <f>IF(F43="Yes",1,IF(F43="No",0,"'"))</f>
        <v>'</v>
      </c>
      <c r="H43" s="430"/>
    </row>
    <row r="44" spans="1:10">
      <c r="A44" s="76" t="s">
        <v>6342</v>
      </c>
      <c r="B44" s="37" t="str">
        <f>Language!A1381</f>
        <v>Is there a maximum of 6 antibiotic disks per 100mm plate?</v>
      </c>
      <c r="C44" s="27"/>
      <c r="F44" s="29">
        <f>C44</f>
        <v>0</v>
      </c>
      <c r="G44" s="18" t="str">
        <f t="shared" ref="G44:G46" si="6">IF(F44="Yes",1,IF(F44="No",0,"'"))</f>
        <v>'</v>
      </c>
      <c r="H44" s="430"/>
    </row>
    <row r="45" spans="1:10">
      <c r="A45" s="76" t="s">
        <v>6343</v>
      </c>
      <c r="B45" s="37" t="str">
        <f>Language!A1382</f>
        <v>Is there a maximum of 12 antibiotic disks per 150mm plate?</v>
      </c>
      <c r="C45" s="27"/>
      <c r="F45" s="29">
        <f>C45</f>
        <v>0</v>
      </c>
      <c r="G45" s="18" t="str">
        <f t="shared" si="6"/>
        <v>'</v>
      </c>
      <c r="H45" s="430"/>
    </row>
    <row r="46" spans="1:10" ht="27.6" customHeight="1" thickBot="1">
      <c r="A46" s="76" t="s">
        <v>6344</v>
      </c>
      <c r="B46" s="37" t="str">
        <f>Language!A1383</f>
        <v>Are disks spaced properly? (At least 24mm from center to center, no overlapping zones, not too close to edge, uniformly circular zones)</v>
      </c>
      <c r="C46" s="27"/>
      <c r="F46" s="29">
        <f>C46</f>
        <v>0</v>
      </c>
      <c r="G46" s="18" t="str">
        <f t="shared" si="6"/>
        <v>'</v>
      </c>
      <c r="H46" s="430"/>
    </row>
    <row r="47" spans="1:10" ht="16.2" thickBot="1">
      <c r="A47" s="160"/>
      <c r="B47" s="34" t="str">
        <f>Language!A1384</f>
        <v>READING AST RESULTS</v>
      </c>
      <c r="C47" s="44" t="str">
        <f>IF(COUNTBLANK(C48:C61)=14,"???",IF(COUNT(G48:G61)=0,"NA",AVERAGE(G48:G61)))</f>
        <v>???</v>
      </c>
      <c r="E47" s="28"/>
      <c r="G47" s="28"/>
      <c r="H47" s="427"/>
    </row>
    <row r="48" spans="1:10">
      <c r="A48" s="76" t="s">
        <v>6345</v>
      </c>
      <c r="B48" s="8" t="str">
        <f>Language!A1385</f>
        <v>Are AST results ever read after less than 16 hours of incubation?</v>
      </c>
      <c r="C48" s="27"/>
      <c r="F48" s="29">
        <f>C48</f>
        <v>0</v>
      </c>
      <c r="G48" s="18" t="str">
        <f>IF(F48="No",1,IF(F48="Yes",0,"'"))</f>
        <v>'</v>
      </c>
      <c r="H48" s="430"/>
    </row>
    <row r="49" spans="1:10">
      <c r="A49" s="76" t="s">
        <v>6346</v>
      </c>
      <c r="B49" s="20" t="str">
        <f>Language!A1386</f>
        <v>Are AST results ever read after more than 24 hours of incubation?</v>
      </c>
      <c r="C49" s="27"/>
      <c r="F49" s="29">
        <f>C49</f>
        <v>0</v>
      </c>
      <c r="G49" s="18" t="str">
        <f>IF(F49="No",1,IF(F49="Yes",0,"'"))</f>
        <v>'</v>
      </c>
      <c r="H49" s="430"/>
    </row>
    <row r="50" spans="1:10" ht="27.6" customHeight="1">
      <c r="A50" s="76" t="s">
        <v>6347</v>
      </c>
      <c r="B50" s="20" t="str">
        <f>Language!A1387</f>
        <v>If individual colonies are apparent within the ellipsis or the zone of inhibition, does the lab repeat the test with a fresh subculture of a single colony from the original plate?</v>
      </c>
      <c r="C50" s="27"/>
      <c r="F50" s="29">
        <f>C50</f>
        <v>0</v>
      </c>
      <c r="G50" s="18" t="str">
        <f>IF(F50="Yes",1,IF(F50="No",0,"'"))</f>
        <v>'</v>
      </c>
      <c r="H50" s="430"/>
    </row>
    <row r="51" spans="1:10">
      <c r="A51" s="10"/>
      <c r="B51" s="20" t="str">
        <f>Language!A1388</f>
        <v>Observe a Mueller Hinton AST plate being read.</v>
      </c>
      <c r="C51" s="102"/>
      <c r="D51" s="102"/>
      <c r="H51" s="162"/>
    </row>
    <row r="52" spans="1:10">
      <c r="A52" s="76" t="s">
        <v>6348</v>
      </c>
      <c r="B52" s="37" t="str">
        <f>Language!A1389</f>
        <v>Is the plate held above a black, non-reflective background?</v>
      </c>
      <c r="C52" s="27"/>
      <c r="F52" s="29">
        <f t="shared" ref="F52:F57" si="7">C52</f>
        <v>0</v>
      </c>
      <c r="G52" s="18" t="str">
        <f>IF(F52="Yes",1,IF(F52="No",0,"'"))</f>
        <v>'</v>
      </c>
      <c r="H52" s="430"/>
    </row>
    <row r="53" spans="1:10">
      <c r="A53" s="76" t="s">
        <v>6349</v>
      </c>
      <c r="B53" s="37" t="str">
        <f>Language!A1390</f>
        <v>Is the plate illuminated adequately with reflected light?</v>
      </c>
      <c r="C53" s="27"/>
      <c r="F53" s="29">
        <f t="shared" si="7"/>
        <v>0</v>
      </c>
      <c r="G53" s="18" t="str">
        <f t="shared" ref="G53:G57" si="8">IF(F53="Yes",1,IF(F53="No",0,"'"))</f>
        <v>'</v>
      </c>
      <c r="H53" s="430"/>
    </row>
    <row r="54" spans="1:10">
      <c r="A54" s="76" t="s">
        <v>6350</v>
      </c>
      <c r="B54" s="37" t="str">
        <f>Language!A1391</f>
        <v>Is the plate inverted and zones measured from underneath?</v>
      </c>
      <c r="C54" s="27"/>
      <c r="F54" s="29">
        <f t="shared" si="7"/>
        <v>0</v>
      </c>
      <c r="G54" s="18" t="str">
        <f t="shared" si="8"/>
        <v>'</v>
      </c>
      <c r="H54" s="430"/>
    </row>
    <row r="55" spans="1:10" ht="27.6" customHeight="1">
      <c r="A55" s="76" t="s">
        <v>6351</v>
      </c>
      <c r="B55" s="37" t="str">
        <f>Language!A1392</f>
        <v>Is a ruler or a caliper with millimeter marks used to measure zone sizes ?</v>
      </c>
      <c r="C55" s="27"/>
      <c r="F55" s="29">
        <f t="shared" si="7"/>
        <v>0</v>
      </c>
      <c r="G55" s="18" t="str">
        <f t="shared" si="8"/>
        <v>'</v>
      </c>
      <c r="H55" s="430"/>
    </row>
    <row r="56" spans="1:10" ht="27.6" customHeight="1">
      <c r="A56" s="76" t="s">
        <v>6352</v>
      </c>
      <c r="B56" s="20" t="str">
        <f>Language!A1393</f>
        <v>Does the lab possess a guidance document with photos describing how to measure zone sizes, such as the CLSI M02 or the EUCAST disk diffusion reading guides?</v>
      </c>
      <c r="C56" s="27"/>
      <c r="F56" s="29">
        <f t="shared" si="7"/>
        <v>0</v>
      </c>
      <c r="G56" s="18" t="str">
        <f t="shared" si="8"/>
        <v>'</v>
      </c>
      <c r="H56" s="430"/>
    </row>
    <row r="57" spans="1:10" ht="27.6" customHeight="1">
      <c r="A57" s="76" t="s">
        <v>6353</v>
      </c>
      <c r="B57" s="8" t="str">
        <f>Language!A1394</f>
        <v xml:space="preserve">Does the lab possess a guidance document with photos describing how to measure gradient strip endpoints? </v>
      </c>
      <c r="C57" s="27"/>
      <c r="F57" s="29">
        <f t="shared" si="7"/>
        <v>0</v>
      </c>
      <c r="G57" s="18" t="str">
        <f t="shared" si="8"/>
        <v>'</v>
      </c>
      <c r="H57" s="430"/>
    </row>
    <row r="58" spans="1:10">
      <c r="A58" s="10"/>
      <c r="B58" s="439" t="str">
        <f>Language!A1395</f>
        <v>For example, http://www.ilexmedical.com/files/ETEST_RG.pdf</v>
      </c>
      <c r="C58" s="22"/>
      <c r="F58" s="29"/>
      <c r="G58" s="18"/>
      <c r="H58" s="197"/>
    </row>
    <row r="59" spans="1:10" ht="27.6" customHeight="1">
      <c r="A59" s="76" t="s">
        <v>6354</v>
      </c>
      <c r="B59" s="8" t="str">
        <f>Language!A1396</f>
        <v xml:space="preserve">Does the SOP or bench aide instruct that zone sizes and/or MIC endpoints for co-trimoxazole (SXT) are measured at 80% inhibition of growth, rather than 100%? </v>
      </c>
      <c r="C59" s="27"/>
      <c r="F59" s="29">
        <f>C59</f>
        <v>0</v>
      </c>
      <c r="G59" s="18" t="str">
        <f>IF(F59="Yes",1,IF(F59="No",0,"'"))</f>
        <v>'</v>
      </c>
      <c r="H59" s="430"/>
    </row>
    <row r="60" spans="1:10" ht="27.6" customHeight="1">
      <c r="A60" s="76" t="s">
        <v>6355</v>
      </c>
      <c r="B60" s="8" t="str">
        <f>Language!A1397</f>
        <v>Does the SOP or bench aide instruct how to measure zones of inhibition and/or MIC endpoints when Proteus spp. swarming is present?</v>
      </c>
      <c r="C60" s="27"/>
      <c r="F60" s="29">
        <f>C60</f>
        <v>0</v>
      </c>
      <c r="G60" s="18" t="str">
        <f t="shared" ref="G60:G61" si="9">IF(F60="Yes",1,IF(F60="No",0,"'"))</f>
        <v>'</v>
      </c>
      <c r="H60" s="430"/>
    </row>
    <row r="61" spans="1:10">
      <c r="A61" s="76" t="s">
        <v>6356</v>
      </c>
      <c r="B61" s="8" t="str">
        <f>Language!A1398</f>
        <v>Is the automated AST instrument software up to date?</v>
      </c>
      <c r="C61" s="27"/>
      <c r="F61" s="29">
        <f>C61</f>
        <v>0</v>
      </c>
      <c r="G61" s="18" t="str">
        <f t="shared" si="9"/>
        <v>'</v>
      </c>
      <c r="H61" s="430"/>
      <c r="J61" s="204"/>
    </row>
    <row r="62" spans="1:10">
      <c r="A62" s="10"/>
      <c r="B62" s="439" t="str">
        <f>Language!A1399</f>
        <v>Answer NA if the lab does not use automated AST instrument</v>
      </c>
      <c r="C62" s="22"/>
      <c r="F62" s="22"/>
    </row>
    <row r="63" spans="1:10" ht="16.2" thickBot="1">
      <c r="A63" s="10"/>
      <c r="C63" s="8"/>
      <c r="D63" s="8"/>
      <c r="F63" s="29"/>
      <c r="G63" s="18"/>
    </row>
    <row r="64" spans="1:10" ht="16.2" thickBot="1">
      <c r="A64" s="160"/>
      <c r="B64" s="34" t="str">
        <f>Language!A1400</f>
        <v>INTERPRETING RESULTS</v>
      </c>
      <c r="C64" s="44" t="str">
        <f>IF(COUNTBLANK(C65:C79)=15,"???",IF(COUNT(G65:G79)=0,"NA",AVERAGE(G65:G79)))</f>
        <v>???</v>
      </c>
      <c r="E64" s="28"/>
      <c r="G64" s="28"/>
      <c r="H64" s="427"/>
    </row>
    <row r="65" spans="1:10" ht="27.6" customHeight="1">
      <c r="A65" s="76" t="s">
        <v>6357</v>
      </c>
      <c r="B65" s="8" t="str">
        <f>Language!A1401</f>
        <v>Is there evidence that appropriate actions are taken when the AST instrument software flags an AST result as questionable (such as checking for purity or repeating the test by another method)?</v>
      </c>
      <c r="C65" s="27"/>
      <c r="F65" s="29">
        <f>C65</f>
        <v>0</v>
      </c>
      <c r="G65" s="18" t="str">
        <f>IF(F65="Yes",1,IF(F65="No",0,"'"))</f>
        <v>'</v>
      </c>
      <c r="H65" s="430"/>
      <c r="I65" s="18" t="str">
        <f>IF(C65="No","Red Flag","'")</f>
        <v>'</v>
      </c>
    </row>
    <row r="66" spans="1:10">
      <c r="A66" s="10"/>
      <c r="B66" s="439" t="str">
        <f>Language!A1402</f>
        <v>Answer NA if the lab does not use automated instrument</v>
      </c>
      <c r="C66" s="509"/>
      <c r="D66" s="509"/>
      <c r="H66" s="518"/>
    </row>
    <row r="67" spans="1:10" ht="27.6" customHeight="1">
      <c r="A67" s="76" t="s">
        <v>6358</v>
      </c>
      <c r="B67" s="59" t="str">
        <f>Language!A1403</f>
        <v>Is there evidence that microbiology staff have received adequate training to recognize intrinsic resistance patterns? (Check SOPs and training/competence assessment records )</v>
      </c>
      <c r="C67" s="46"/>
      <c r="F67" s="90" t="str">
        <f>IF(C67=1,"Yes",IF(C67=2,"Some",IF(C67=3,"No","'")))</f>
        <v>'</v>
      </c>
      <c r="G67" s="18" t="str">
        <f>IF(F67="Yes",1,IF(F67="Some",0.75,IF(F67="No",0,"'")))</f>
        <v>'</v>
      </c>
      <c r="H67" s="430"/>
      <c r="I67" s="91" t="str">
        <f>IF(F67="No","Training Opportunity",IF(F67="Some","Training Opportunity","'"))</f>
        <v>'</v>
      </c>
    </row>
    <row r="68" spans="1:10">
      <c r="A68" s="10"/>
      <c r="B68" s="439" t="str">
        <f>Language!A1405</f>
        <v>(1: Yes - 2: Some, but would like additional training - 3: No)</v>
      </c>
      <c r="C68" s="102"/>
      <c r="D68" s="102"/>
      <c r="H68" s="162"/>
    </row>
    <row r="69" spans="1:10" ht="41.55" customHeight="1">
      <c r="A69" s="10"/>
      <c r="B69" s="464" t="str">
        <f>Language!A1404</f>
        <v>Note: Intrinsic resistance is defined as inherent or innate (not acquired) resistance which is reflected in the wild-type of all representatives of a species; e.g., Citrobacter spp. and Klebsiella spp. are intrinsically (naturally) resistant to ampicillin</v>
      </c>
      <c r="C69" s="60"/>
      <c r="D69" s="102"/>
      <c r="H69" s="162"/>
    </row>
    <row r="70" spans="1:10" ht="27.6" customHeight="1">
      <c r="A70" s="76" t="s">
        <v>6359</v>
      </c>
      <c r="B70" s="20" t="str">
        <f>Language!A1406</f>
        <v>Do the AST SOPs or bench aides provide examples of intrinsic resistance patterns? (Such as those found in CLSI M100 Appendix B or EUCAST Expert Rules V3.1)</v>
      </c>
      <c r="C70" s="27"/>
      <c r="F70" s="29">
        <f>C70</f>
        <v>0</v>
      </c>
      <c r="G70" s="18" t="str">
        <f>IF(F70="Yes",1,IF(F70="No",0,"'"))</f>
        <v>'</v>
      </c>
      <c r="H70" s="430"/>
      <c r="J70" s="204"/>
    </row>
    <row r="71" spans="1:10" ht="41.55" customHeight="1">
      <c r="A71" s="76" t="s">
        <v>6360</v>
      </c>
      <c r="B71" s="58" t="str">
        <f>Language!A1407</f>
        <v>Is there evidence that microbiology staff have received adequate training to recognize unusual or unexpected AST results that might require investigation? (e.g. Klebsiella spp. S to ampicillin; Staphylococcus spp. I/R to vancomycin)</v>
      </c>
      <c r="C71" s="46"/>
      <c r="F71" s="90" t="str">
        <f>IF(C71=1,"Yes",IF(C71=2,"Some",IF(C71=3,"No","'")))</f>
        <v>'</v>
      </c>
      <c r="G71" s="18" t="str">
        <f>IF(F71="Yes",1,IF(F71="Some",0.75,IF(F71="No",0,"'")))</f>
        <v>'</v>
      </c>
      <c r="H71" s="430"/>
      <c r="I71" s="91" t="str">
        <f>IF(F71="No","Training Opportunity",IF(F71="Some","Training Opportunity","'"))</f>
        <v>'</v>
      </c>
    </row>
    <row r="72" spans="1:10">
      <c r="A72" s="10"/>
      <c r="B72" s="439" t="str">
        <f>Language!A1408</f>
        <v>Check SOPs and training/competence assessment records</v>
      </c>
      <c r="C72" s="22"/>
      <c r="F72" s="29"/>
      <c r="G72" s="18"/>
    </row>
    <row r="73" spans="1:10">
      <c r="A73" s="10"/>
      <c r="B73" s="476" t="str">
        <f>Language!A1409</f>
        <v>1: Yes - 2: Some, but would like additional training - 3: No</v>
      </c>
      <c r="C73" s="22"/>
      <c r="F73" s="29"/>
      <c r="G73" s="18"/>
      <c r="H73" s="197"/>
    </row>
    <row r="74" spans="1:10" ht="27.6" customHeight="1">
      <c r="A74" s="76" t="s">
        <v>6361</v>
      </c>
      <c r="B74" s="20" t="str">
        <f>Language!A1410</f>
        <v>Do the AST SOPs or bench aides define examples of unusual or unexpected AST results? (Such as those found in CLSI M100 Appendix A or EUCAST Expert Rules V3.1)</v>
      </c>
      <c r="C74" s="27"/>
      <c r="F74" s="29">
        <f>C74</f>
        <v>0</v>
      </c>
      <c r="G74" s="18" t="str">
        <f>IF(F74="Yes",1,IF(F74="No",0,"'"))</f>
        <v>'</v>
      </c>
      <c r="H74" s="430"/>
      <c r="J74" s="204"/>
    </row>
    <row r="75" spans="1:10" ht="41.55" customHeight="1">
      <c r="A75" s="76" t="s">
        <v>6362</v>
      </c>
      <c r="B75" s="20" t="str">
        <f>Language!A1411</f>
        <v xml:space="preserve">Do the AST SOPs or bench aides describe what actions to take when unusual or unexpected AST results are encountered (e.g., check purity, reconfirm organism ID, check relevant QC, repeat testing, notify supervisor)? </v>
      </c>
      <c r="C75" s="27"/>
      <c r="F75" s="29">
        <f>C75</f>
        <v>0</v>
      </c>
      <c r="G75" s="18" t="str">
        <f t="shared" ref="G75:G78" si="10">IF(F75="Yes",1,IF(F75="No",0,"'"))</f>
        <v>'</v>
      </c>
      <c r="H75" s="430"/>
      <c r="J75" s="204"/>
    </row>
    <row r="76" spans="1:10">
      <c r="A76" s="76" t="s">
        <v>6363</v>
      </c>
      <c r="B76" s="20" t="str">
        <f>Language!A1412</f>
        <v xml:space="preserve">Is there evidence of such actions being taken? </v>
      </c>
      <c r="C76" s="27"/>
      <c r="F76" s="29">
        <f>C76</f>
        <v>0</v>
      </c>
      <c r="G76" s="18" t="str">
        <f t="shared" si="10"/>
        <v>'</v>
      </c>
      <c r="H76" s="430"/>
      <c r="I76" s="18" t="str">
        <f>IF(C76="No","Red Flag","'")</f>
        <v>'</v>
      </c>
    </row>
    <row r="77" spans="1:10">
      <c r="A77" s="76" t="s">
        <v>6364</v>
      </c>
      <c r="B77" s="20" t="str">
        <f>Language!A1413</f>
        <v>Is the microbiology lead or supervisor informed when unusual AST results are identified?</v>
      </c>
      <c r="C77" s="27"/>
      <c r="F77" s="29">
        <f>C77</f>
        <v>0</v>
      </c>
      <c r="G77" s="18" t="str">
        <f t="shared" si="10"/>
        <v>'</v>
      </c>
      <c r="H77" s="430"/>
    </row>
    <row r="78" spans="1:10" ht="27.6" customHeight="1">
      <c r="A78" s="76" t="s">
        <v>6365</v>
      </c>
      <c r="B78" s="20" t="str">
        <f>Language!A1414</f>
        <v>Does a supervisor review all AST results for unusual findings before results are given to physicians ?</v>
      </c>
      <c r="C78" s="27"/>
      <c r="F78" s="29">
        <f>C78</f>
        <v>0</v>
      </c>
      <c r="G78" s="18" t="str">
        <f t="shared" si="10"/>
        <v>'</v>
      </c>
      <c r="H78" s="430"/>
      <c r="J78" s="204"/>
    </row>
    <row r="79" spans="1:10" ht="27.6" customHeight="1">
      <c r="A79" s="76" t="s">
        <v>6366</v>
      </c>
      <c r="B79" s="20" t="str">
        <f>Language!A1415</f>
        <v>Is there evidence that the supervisor received appropriate training on how to recognize unusual AST findings?</v>
      </c>
      <c r="C79" s="27"/>
      <c r="F79" s="29" t="str">
        <f>IF(C79=1,"Yes",IF(C79=2,"Some",IF(C79=3,"No","'")))</f>
        <v>'</v>
      </c>
      <c r="G79" s="18" t="str">
        <f>IF(F79="Yes",1,IF(F79="Some",0.75,IF(F79="No",0,"'")))</f>
        <v>'</v>
      </c>
      <c r="H79" s="430"/>
      <c r="I79" s="91" t="str">
        <f>IF(F79="No","Training Opportunity",IF(F79="Some","Training Opportunity","'"))</f>
        <v>'</v>
      </c>
    </row>
    <row r="80" spans="1:10">
      <c r="A80" s="10"/>
      <c r="B80" s="439" t="str">
        <f>Language!A1416</f>
        <v>1: Yes - 2: Some, but would like additional training - 3: No</v>
      </c>
      <c r="C80" s="22"/>
      <c r="F80" s="29"/>
      <c r="G80" s="18"/>
    </row>
    <row r="81" spans="1:10" ht="16.2" thickBot="1">
      <c r="A81" s="10"/>
      <c r="B81" s="20"/>
      <c r="C81" s="22"/>
      <c r="F81" s="29"/>
      <c r="G81" s="18"/>
      <c r="H81" s="197"/>
    </row>
    <row r="82" spans="1:10" ht="16.2" thickBot="1">
      <c r="A82" s="160"/>
      <c r="B82" s="34" t="str">
        <f>Language!A1417</f>
        <v>BREAKPOINTS STANDARDS</v>
      </c>
      <c r="C82" s="44" t="str">
        <f>IF(COUNTBLANK(C84:C95)=12,"???",IF(COUNT(G84:G95)=0,"NA",AVERAGE(G84:G95)))</f>
        <v>???</v>
      </c>
      <c r="E82" s="28"/>
      <c r="G82" s="28"/>
      <c r="H82" s="427"/>
    </row>
    <row r="83" spans="1:10">
      <c r="A83" s="117"/>
      <c r="B83" s="8" t="str">
        <f>Language!A1418</f>
        <v xml:space="preserve">Which AST breakpoint standard does the lab primarily use? </v>
      </c>
      <c r="C83" s="102"/>
      <c r="D83" s="102"/>
      <c r="F83" s="102"/>
      <c r="H83" s="197"/>
    </row>
    <row r="84" spans="1:10">
      <c r="A84" s="76" t="s">
        <v>6367</v>
      </c>
      <c r="B84" s="37" t="str">
        <f>Language!A1419</f>
        <v>1: CLSI - 2: EUCAST - 3: Other (please list in comments) - 4: None/mixed</v>
      </c>
      <c r="C84" s="27"/>
      <c r="F84" s="29">
        <f>C84</f>
        <v>0</v>
      </c>
      <c r="G84" s="18" t="str">
        <f>IF(F84=1,1,IF(F84=2,1,IF(F84=3,0.75,IF(F84=4,0,"'"))))</f>
        <v>'</v>
      </c>
      <c r="H84" s="430"/>
      <c r="J84" s="204"/>
    </row>
    <row r="85" spans="1:10">
      <c r="A85" s="76" t="s">
        <v>6368</v>
      </c>
      <c r="B85" s="8" t="str">
        <f>Language!A1420</f>
        <v>Ask to see the lab’s most current hard copy of the standard. Is it less than 3 years old?</v>
      </c>
      <c r="C85" s="27"/>
      <c r="F85" s="29">
        <f>C85</f>
        <v>0</v>
      </c>
      <c r="G85" s="18" t="str">
        <f>IF(F85="Yes",1,IF(F85="No",0,"'"))</f>
        <v>'</v>
      </c>
      <c r="H85" s="430"/>
      <c r="J85" s="204"/>
    </row>
    <row r="86" spans="1:10">
      <c r="A86" s="76" t="s">
        <v>6369</v>
      </c>
      <c r="B86" s="8" t="str">
        <f>Language!A1421</f>
        <v>Does the lab obtain updates of the standard in use at least every 3 years?</v>
      </c>
      <c r="C86" s="27"/>
      <c r="F86" s="29">
        <f>C86</f>
        <v>0</v>
      </c>
      <c r="G86" s="18" t="str">
        <f t="shared" ref="G86:G87" si="11">IF(F86="Yes",1,IF(F86="No",0,"'"))</f>
        <v>'</v>
      </c>
      <c r="H86" s="430"/>
      <c r="J86" s="204"/>
    </row>
    <row r="87" spans="1:10" ht="27.6" customHeight="1">
      <c r="A87" s="76" t="s">
        <v>6370</v>
      </c>
      <c r="B87" s="8" t="str">
        <f>Language!A1422</f>
        <v>Does the lab review important standards changes, e.g., breakpoint changes, with the relevant hospital committees (e.g. pharmacy and therapeutics, stewardship)?</v>
      </c>
      <c r="C87" s="27"/>
      <c r="F87" s="29">
        <f>C87</f>
        <v>0</v>
      </c>
      <c r="G87" s="18" t="str">
        <f t="shared" si="11"/>
        <v>'</v>
      </c>
      <c r="H87" s="430"/>
      <c r="J87" s="204"/>
    </row>
    <row r="88" spans="1:10" ht="27.6" customHeight="1">
      <c r="A88" s="76" t="s">
        <v>6371</v>
      </c>
      <c r="B88" s="8" t="str">
        <f>Language!A1423</f>
        <v xml:space="preserve">Is there internet in the lab to access free EUCAST PDFs or CLSI M100 online version? </v>
      </c>
      <c r="C88" s="27"/>
      <c r="D88" s="102"/>
      <c r="F88" s="67">
        <f>C88</f>
        <v>0</v>
      </c>
      <c r="H88" s="431"/>
      <c r="I88" s="18" t="str">
        <f>IF(C88="No","System Flag","'")</f>
        <v>'</v>
      </c>
    </row>
    <row r="89" spans="1:10">
      <c r="A89" s="10"/>
      <c r="B89" s="477" t="str">
        <f>Language!A1424</f>
        <v xml:space="preserve">http://www.eucast.org/ast_of_bacteria/guidance_documents/  </v>
      </c>
      <c r="C89" s="22"/>
      <c r="F89" s="22"/>
      <c r="H89" s="197"/>
    </row>
    <row r="90" spans="1:10">
      <c r="A90" s="10"/>
      <c r="B90" s="477" t="str">
        <f>Language!A1425</f>
        <v>http://clsi-m100.com/</v>
      </c>
      <c r="C90" s="22"/>
      <c r="F90" s="22"/>
      <c r="H90" s="197"/>
    </row>
    <row r="91" spans="1:10" ht="41.55" customHeight="1">
      <c r="A91" s="145" t="s">
        <v>6372</v>
      </c>
      <c r="B91" s="146" t="str">
        <f>Language!A1426</f>
        <v>Is there evidence that microbiology staff have received adequate training on how to use the CLSI M100 or EUCAST documents effectively? (1: Yes - 2: Some, but would like additional training - 3: No)</v>
      </c>
      <c r="C91" s="27"/>
      <c r="F91" s="29" t="str">
        <f>IF(C91=1,"Yes",IF(C91=2,"Some",IF(C91=3,"No","'")))</f>
        <v>'</v>
      </c>
      <c r="G91" s="18" t="str">
        <f>IF(F91="Yes",1,IF(F91="Some",0.75,IF(F91="No",0,"'")))</f>
        <v>'</v>
      </c>
      <c r="H91" s="430"/>
      <c r="I91" s="91" t="str">
        <f>IF(F91="No","Training Opportunity",IF(F91="Some","Training Opportunity","'"))</f>
        <v>'</v>
      </c>
    </row>
    <row r="92" spans="1:10">
      <c r="A92" s="10"/>
      <c r="B92" s="48" t="str">
        <f>Language!A1427</f>
        <v>For the next 3 questions, answer NA if the lab does not use considered disks</v>
      </c>
      <c r="C92" s="22"/>
      <c r="D92" s="102"/>
      <c r="F92" s="23"/>
      <c r="G92" s="18"/>
      <c r="H92" s="197"/>
    </row>
    <row r="93" spans="1:10" ht="41.55" customHeight="1">
      <c r="A93" s="76" t="s">
        <v>6373</v>
      </c>
      <c r="B93" s="37" t="str">
        <f>Language!A1428</f>
        <v>Look at the cefotaxime disks currently in use. Does the drug concentration correspond correctly to the standard the lab uses? (CLSI breakpoints require 30µg disks, EUCAST breakpoints require 5µg disks).</v>
      </c>
      <c r="C93" s="27"/>
      <c r="F93" s="29">
        <f>C93</f>
        <v>0</v>
      </c>
      <c r="G93" s="18" t="str">
        <f t="shared" ref="G93:G95" si="12">IF(F93="Yes",1,IF(F93="No",0,"'"))</f>
        <v>'</v>
      </c>
      <c r="H93" s="430"/>
      <c r="I93" s="18" t="str">
        <f>IF(C93="No","Red Flag","'")</f>
        <v>'</v>
      </c>
    </row>
    <row r="94" spans="1:10" ht="41.55" customHeight="1">
      <c r="A94" s="76" t="s">
        <v>6374</v>
      </c>
      <c r="B94" s="37" t="str">
        <f>Language!A1429</f>
        <v>Look at the ceftazidime disks currently in use. Does the drug concentration correspond correctly to the standard in use? (CLSI breakpoints require 30µg disks, EUCAST breakpoints require 10µg)</v>
      </c>
      <c r="C94" s="27"/>
      <c r="F94" s="29">
        <f>C94</f>
        <v>0</v>
      </c>
      <c r="G94" s="18" t="str">
        <f t="shared" si="12"/>
        <v>'</v>
      </c>
      <c r="H94" s="430"/>
      <c r="I94" s="18" t="str">
        <f t="shared" ref="I94:I95" si="13">IF(C94="No","Red Flag","'")</f>
        <v>'</v>
      </c>
    </row>
    <row r="95" spans="1:10" ht="41.55" customHeight="1">
      <c r="A95" s="76" t="s">
        <v>6375</v>
      </c>
      <c r="B95" s="37" t="str">
        <f>Language!A1430</f>
        <v>Look at the piperacillin-tazobactam disks currently in use. Does the drug concentration correspond correctly to the standard in use? (CLSI breakpoints require 100/10µg disks, EUCAST breakpoints require 30/6µg disks).</v>
      </c>
      <c r="C95" s="27"/>
      <c r="D95" s="102"/>
      <c r="F95" s="29">
        <f>C95</f>
        <v>0</v>
      </c>
      <c r="G95" s="18" t="str">
        <f t="shared" si="12"/>
        <v>'</v>
      </c>
      <c r="H95" s="431"/>
      <c r="I95" s="18" t="str">
        <f t="shared" si="13"/>
        <v>'</v>
      </c>
    </row>
  </sheetData>
  <sheetProtection algorithmName="SHA-256" hashValue="/JyK+M+sZFz6Ynk8yhSsl1B7GR+EuTVkzhKjYfv5jJI=" saltValue="YJE2m32kJaSWMU3NFtKECw==" spinCount="100000" sheet="1" selectLockedCells="1"/>
  <phoneticPr fontId="45" type="noConversion"/>
  <conditionalFormatting sqref="C3">
    <cfRule type="cellIs" dxfId="542" priority="763" stopIfTrue="1" operator="between">
      <formula>0.5</formula>
      <formula>0.799</formula>
    </cfRule>
    <cfRule type="cellIs" dxfId="541" priority="762" stopIfTrue="1" operator="greaterThanOrEqual">
      <formula>0.8</formula>
    </cfRule>
    <cfRule type="cellIs" dxfId="540" priority="764" stopIfTrue="1" operator="lessThan">
      <formula>0.5</formula>
    </cfRule>
  </conditionalFormatting>
  <conditionalFormatting sqref="C15">
    <cfRule type="cellIs" dxfId="539" priority="761" stopIfTrue="1" operator="lessThan">
      <formula>0.5</formula>
    </cfRule>
    <cfRule type="cellIs" dxfId="538" priority="760" stopIfTrue="1" operator="between">
      <formula>0.5</formula>
      <formula>0.799</formula>
    </cfRule>
    <cfRule type="cellIs" dxfId="537" priority="759" stopIfTrue="1" operator="greaterThanOrEqual">
      <formula>0.8</formula>
    </cfRule>
  </conditionalFormatting>
  <conditionalFormatting sqref="C26">
    <cfRule type="cellIs" dxfId="536" priority="757" stopIfTrue="1" operator="between">
      <formula>0.5</formula>
      <formula>0.799</formula>
    </cfRule>
    <cfRule type="cellIs" dxfId="535" priority="756" stopIfTrue="1" operator="greaterThanOrEqual">
      <formula>0.8</formula>
    </cfRule>
    <cfRule type="cellIs" dxfId="534" priority="758" stopIfTrue="1" operator="lessThan">
      <formula>0.5</formula>
    </cfRule>
  </conditionalFormatting>
  <conditionalFormatting sqref="C47">
    <cfRule type="cellIs" dxfId="533" priority="639" stopIfTrue="1" operator="greaterThanOrEqual">
      <formula>0.8</formula>
    </cfRule>
    <cfRule type="cellIs" dxfId="532" priority="641" stopIfTrue="1" operator="lessThan">
      <formula>0.5</formula>
    </cfRule>
    <cfRule type="cellIs" dxfId="531" priority="640" stopIfTrue="1" operator="between">
      <formula>0.5</formula>
      <formula>0.799</formula>
    </cfRule>
  </conditionalFormatting>
  <conditionalFormatting sqref="C64">
    <cfRule type="cellIs" dxfId="530" priority="600" stopIfTrue="1" operator="greaterThanOrEqual">
      <formula>0.8</formula>
    </cfRule>
    <cfRule type="cellIs" dxfId="529" priority="601" stopIfTrue="1" operator="between">
      <formula>0.5</formula>
      <formula>0.799</formula>
    </cfRule>
    <cfRule type="cellIs" dxfId="528" priority="602" stopIfTrue="1" operator="lessThan">
      <formula>0.5</formula>
    </cfRule>
  </conditionalFormatting>
  <conditionalFormatting sqref="C82">
    <cfRule type="cellIs" dxfId="527" priority="461" stopIfTrue="1" operator="lessThan">
      <formula>0.5</formula>
    </cfRule>
    <cfRule type="cellIs" dxfId="526" priority="460" stopIfTrue="1" operator="between">
      <formula>0.5</formula>
      <formula>0.799</formula>
    </cfRule>
    <cfRule type="cellIs" dxfId="525" priority="459" stopIfTrue="1" operator="greaterThanOrEqual">
      <formula>0.8</formula>
    </cfRule>
  </conditionalFormatting>
  <conditionalFormatting sqref="G4:G13">
    <cfRule type="cellIs" dxfId="524" priority="735" stopIfTrue="1" operator="lessThan">
      <formula>0.5</formula>
    </cfRule>
    <cfRule type="cellIs" dxfId="523" priority="736" stopIfTrue="1" operator="between">
      <formula>0.5</formula>
      <formula>0.75</formula>
    </cfRule>
    <cfRule type="cellIs" dxfId="522" priority="737" stopIfTrue="1" operator="greaterThan">
      <formula>0.75</formula>
    </cfRule>
  </conditionalFormatting>
  <conditionalFormatting sqref="G15:G66 G68:G70 G92:G1048576 G1:G13">
    <cfRule type="containsText" dxfId="521" priority="176" stopIfTrue="1" operator="containsText" text="RED FLAG">
      <formula>NOT(ISERROR(SEARCH("RED FLAG",G1)))</formula>
    </cfRule>
  </conditionalFormatting>
  <conditionalFormatting sqref="G16:G17">
    <cfRule type="cellIs" dxfId="520" priority="713" stopIfTrue="1" operator="greaterThan">
      <formula>0.75</formula>
    </cfRule>
    <cfRule type="cellIs" dxfId="519" priority="712" stopIfTrue="1" operator="between">
      <formula>0.5</formula>
      <formula>0.75</formula>
    </cfRule>
    <cfRule type="cellIs" dxfId="518" priority="711" stopIfTrue="1" operator="lessThan">
      <formula>0.5</formula>
    </cfRule>
  </conditionalFormatting>
  <conditionalFormatting sqref="G17:G19">
    <cfRule type="cellIs" dxfId="517" priority="707" stopIfTrue="1" operator="greaterThan">
      <formula>0.75</formula>
    </cfRule>
    <cfRule type="cellIs" dxfId="516" priority="706" stopIfTrue="1" operator="between">
      <formula>0.5</formula>
      <formula>0.75</formula>
    </cfRule>
    <cfRule type="cellIs" dxfId="515" priority="705" stopIfTrue="1" operator="lessThan">
      <formula>0.5</formula>
    </cfRule>
  </conditionalFormatting>
  <conditionalFormatting sqref="G19:G23">
    <cfRule type="cellIs" dxfId="514" priority="696" stopIfTrue="1" operator="lessThan">
      <formula>0.5</formula>
    </cfRule>
    <cfRule type="cellIs" dxfId="513" priority="698" stopIfTrue="1" operator="greaterThan">
      <formula>0.75</formula>
    </cfRule>
    <cfRule type="cellIs" dxfId="512" priority="697" stopIfTrue="1" operator="between">
      <formula>0.5</formula>
      <formula>0.75</formula>
    </cfRule>
  </conditionalFormatting>
  <conditionalFormatting sqref="G20">
    <cfRule type="cellIs" dxfId="511" priority="41" stopIfTrue="1" operator="lessThan">
      <formula>0.5</formula>
    </cfRule>
    <cfRule type="cellIs" dxfId="510" priority="42" stopIfTrue="1" operator="between">
      <formula>0.5</formula>
      <formula>0.75</formula>
    </cfRule>
    <cfRule type="cellIs" dxfId="509" priority="43" stopIfTrue="1" operator="greaterThan">
      <formula>0.75</formula>
    </cfRule>
  </conditionalFormatting>
  <conditionalFormatting sqref="G20:G23">
    <cfRule type="cellIs" dxfId="508" priority="35" stopIfTrue="1" operator="lessThan">
      <formula>0.5</formula>
    </cfRule>
    <cfRule type="cellIs" dxfId="507" priority="36" stopIfTrue="1" operator="between">
      <formula>0.5</formula>
      <formula>0.75</formula>
    </cfRule>
    <cfRule type="cellIs" dxfId="506" priority="37" stopIfTrue="1" operator="greaterThan">
      <formula>0.75</formula>
    </cfRule>
  </conditionalFormatting>
  <conditionalFormatting sqref="G22:G25">
    <cfRule type="cellIs" dxfId="505" priority="687" stopIfTrue="1" operator="lessThan">
      <formula>0.5</formula>
    </cfRule>
    <cfRule type="cellIs" dxfId="504" priority="688" stopIfTrue="1" operator="between">
      <formula>0.5</formula>
      <formula>0.75</formula>
    </cfRule>
    <cfRule type="cellIs" dxfId="503" priority="689" stopIfTrue="1" operator="greaterThan">
      <formula>0.75</formula>
    </cfRule>
  </conditionalFormatting>
  <conditionalFormatting sqref="G27:G32">
    <cfRule type="cellIs" dxfId="502" priority="680" stopIfTrue="1" operator="greaterThan">
      <formula>0.75</formula>
    </cfRule>
    <cfRule type="cellIs" dxfId="501" priority="679" stopIfTrue="1" operator="between">
      <formula>0.5</formula>
      <formula>0.75</formula>
    </cfRule>
    <cfRule type="cellIs" dxfId="500" priority="678" stopIfTrue="1" operator="lessThan">
      <formula>0.5</formula>
    </cfRule>
  </conditionalFormatting>
  <conditionalFormatting sqref="G28">
    <cfRule type="cellIs" dxfId="499" priority="32" stopIfTrue="1" operator="lessThan">
      <formula>0.5</formula>
    </cfRule>
    <cfRule type="cellIs" dxfId="498" priority="33" stopIfTrue="1" operator="between">
      <formula>0.5</formula>
      <formula>0.75</formula>
    </cfRule>
    <cfRule type="cellIs" dxfId="497" priority="34" stopIfTrue="1" operator="greaterThan">
      <formula>0.75</formula>
    </cfRule>
  </conditionalFormatting>
  <conditionalFormatting sqref="G31:G38">
    <cfRule type="cellIs" dxfId="496" priority="667" stopIfTrue="1" operator="between">
      <formula>0.5</formula>
      <formula>0.75</formula>
    </cfRule>
    <cfRule type="cellIs" dxfId="495" priority="668" stopIfTrue="1" operator="greaterThan">
      <formula>0.75</formula>
    </cfRule>
    <cfRule type="cellIs" dxfId="494" priority="666" stopIfTrue="1" operator="lessThan">
      <formula>0.5</formula>
    </cfRule>
  </conditionalFormatting>
  <conditionalFormatting sqref="G34:G38 G40:G41 G43:G46">
    <cfRule type="cellIs" dxfId="493" priority="31" stopIfTrue="1" operator="greaterThan">
      <formula>0.75</formula>
    </cfRule>
    <cfRule type="cellIs" dxfId="492" priority="30" stopIfTrue="1" operator="between">
      <formula>0.5</formula>
      <formula>0.75</formula>
    </cfRule>
    <cfRule type="cellIs" dxfId="491" priority="29" stopIfTrue="1" operator="lessThan">
      <formula>0.5</formula>
    </cfRule>
  </conditionalFormatting>
  <conditionalFormatting sqref="G37:G41">
    <cfRule type="cellIs" dxfId="490" priority="642" stopIfTrue="1" operator="lessThan">
      <formula>0.5</formula>
    </cfRule>
    <cfRule type="cellIs" dxfId="489" priority="643" stopIfTrue="1" operator="between">
      <formula>0.5</formula>
      <formula>0.75</formula>
    </cfRule>
    <cfRule type="cellIs" dxfId="488" priority="644" stopIfTrue="1" operator="greaterThan">
      <formula>0.75</formula>
    </cfRule>
  </conditionalFormatting>
  <conditionalFormatting sqref="G42:G46">
    <cfRule type="cellIs" dxfId="487" priority="663" stopIfTrue="1" operator="lessThan">
      <formula>0.5</formula>
    </cfRule>
    <cfRule type="cellIs" dxfId="486" priority="665" stopIfTrue="1" operator="greaterThan">
      <formula>0.75</formula>
    </cfRule>
    <cfRule type="cellIs" dxfId="485" priority="664" stopIfTrue="1" operator="between">
      <formula>0.5</formula>
      <formula>0.75</formula>
    </cfRule>
  </conditionalFormatting>
  <conditionalFormatting sqref="G44:G46">
    <cfRule type="cellIs" dxfId="484" priority="655" stopIfTrue="1" operator="between">
      <formula>0.5</formula>
      <formula>0.75</formula>
    </cfRule>
    <cfRule type="cellIs" dxfId="483" priority="656" stopIfTrue="1" operator="greaterThan">
      <formula>0.75</formula>
    </cfRule>
    <cfRule type="cellIs" dxfId="482" priority="654" stopIfTrue="1" operator="lessThan">
      <formula>0.5</formula>
    </cfRule>
  </conditionalFormatting>
  <conditionalFormatting sqref="G48:G49">
    <cfRule type="cellIs" dxfId="481" priority="637" stopIfTrue="1" operator="between">
      <formula>0.5</formula>
      <formula>0.75</formula>
    </cfRule>
    <cfRule type="cellIs" dxfId="480" priority="636" stopIfTrue="1" operator="lessThan">
      <formula>0.5</formula>
    </cfRule>
    <cfRule type="cellIs" dxfId="479" priority="638" stopIfTrue="1" operator="greaterThan">
      <formula>0.75</formula>
    </cfRule>
  </conditionalFormatting>
  <conditionalFormatting sqref="G49:G50">
    <cfRule type="cellIs" dxfId="478" priority="630" stopIfTrue="1" operator="lessThan">
      <formula>0.5</formula>
    </cfRule>
    <cfRule type="cellIs" dxfId="477" priority="631" stopIfTrue="1" operator="between">
      <formula>0.5</formula>
      <formula>0.75</formula>
    </cfRule>
    <cfRule type="cellIs" dxfId="476" priority="632" stopIfTrue="1" operator="greaterThan">
      <formula>0.75</formula>
    </cfRule>
  </conditionalFormatting>
  <conditionalFormatting sqref="G52:G57 G59:G61">
    <cfRule type="cellIs" dxfId="475" priority="28" stopIfTrue="1" operator="greaterThan">
      <formula>0.75</formula>
    </cfRule>
    <cfRule type="cellIs" dxfId="474" priority="26" stopIfTrue="1" operator="lessThan">
      <formula>0.5</formula>
    </cfRule>
    <cfRule type="cellIs" dxfId="473" priority="27" stopIfTrue="1" operator="between">
      <formula>0.5</formula>
      <formula>0.75</formula>
    </cfRule>
  </conditionalFormatting>
  <conditionalFormatting sqref="G52:G57">
    <cfRule type="cellIs" dxfId="472" priority="628" stopIfTrue="1" operator="between">
      <formula>0.5</formula>
      <formula>0.75</formula>
    </cfRule>
    <cfRule type="cellIs" dxfId="471" priority="629" stopIfTrue="1" operator="greaterThan">
      <formula>0.75</formula>
    </cfRule>
    <cfRule type="cellIs" dxfId="470" priority="627" stopIfTrue="1" operator="lessThan">
      <formula>0.5</formula>
    </cfRule>
  </conditionalFormatting>
  <conditionalFormatting sqref="G53:G61">
    <cfRule type="cellIs" dxfId="469" priority="611" stopIfTrue="1" operator="greaterThan">
      <formula>0.75</formula>
    </cfRule>
    <cfRule type="cellIs" dxfId="468" priority="610" stopIfTrue="1" operator="between">
      <formula>0.5</formula>
      <formula>0.75</formula>
    </cfRule>
    <cfRule type="cellIs" dxfId="467" priority="609" stopIfTrue="1" operator="lessThan">
      <formula>0.5</formula>
    </cfRule>
  </conditionalFormatting>
  <conditionalFormatting sqref="G60:G61">
    <cfRule type="cellIs" dxfId="466" priority="603" stopIfTrue="1" operator="lessThan">
      <formula>0.5</formula>
    </cfRule>
    <cfRule type="cellIs" dxfId="465" priority="604" stopIfTrue="1" operator="between">
      <formula>0.5</formula>
      <formula>0.75</formula>
    </cfRule>
    <cfRule type="cellIs" dxfId="464" priority="605" stopIfTrue="1" operator="greaterThan">
      <formula>0.75</formula>
    </cfRule>
  </conditionalFormatting>
  <conditionalFormatting sqref="G63">
    <cfRule type="cellIs" dxfId="463" priority="613" stopIfTrue="1" operator="between">
      <formula>0.5</formula>
      <formula>0.75</formula>
    </cfRule>
    <cfRule type="cellIs" dxfId="462" priority="614" stopIfTrue="1" operator="greaterThan">
      <formula>0.75</formula>
    </cfRule>
    <cfRule type="cellIs" dxfId="461" priority="612" stopIfTrue="1" operator="lessThan">
      <formula>0.5</formula>
    </cfRule>
  </conditionalFormatting>
  <conditionalFormatting sqref="G65">
    <cfRule type="cellIs" dxfId="460" priority="598" stopIfTrue="1" operator="between">
      <formula>0.5</formula>
      <formula>0.75</formula>
    </cfRule>
    <cfRule type="cellIs" dxfId="459" priority="597" stopIfTrue="1" operator="lessThan">
      <formula>0.5</formula>
    </cfRule>
    <cfRule type="cellIs" dxfId="458" priority="599" stopIfTrue="1" operator="greaterThan">
      <formula>0.75</formula>
    </cfRule>
  </conditionalFormatting>
  <conditionalFormatting sqref="G67:G68 G91">
    <cfRule type="containsText" dxfId="457" priority="1" stopIfTrue="1" operator="containsText" text="RED FLAG">
      <formula>NOT(ISERROR(SEARCH("RED FLAG",G67)))</formula>
    </cfRule>
    <cfRule type="cellIs" dxfId="456" priority="2" stopIfTrue="1" operator="lessThan">
      <formula>0.5</formula>
    </cfRule>
    <cfRule type="cellIs" dxfId="455" priority="4" stopIfTrue="1" operator="greaterThan">
      <formula>0.75</formula>
    </cfRule>
    <cfRule type="cellIs" dxfId="454" priority="3" stopIfTrue="1" operator="between">
      <formula>0.5</formula>
      <formula>0.75</formula>
    </cfRule>
  </conditionalFormatting>
  <conditionalFormatting sqref="G70">
    <cfRule type="cellIs" dxfId="453" priority="595" stopIfTrue="1" operator="between">
      <formula>0.5</formula>
      <formula>0.75</formula>
    </cfRule>
    <cfRule type="cellIs" dxfId="452" priority="596" stopIfTrue="1" operator="greaterThan">
      <formula>0.75</formula>
    </cfRule>
    <cfRule type="cellIs" dxfId="451" priority="594" stopIfTrue="1" operator="lessThan">
      <formula>0.5</formula>
    </cfRule>
  </conditionalFormatting>
  <conditionalFormatting sqref="G70:G71">
    <cfRule type="cellIs" dxfId="450" priority="21" stopIfTrue="1" operator="between">
      <formula>0.5</formula>
      <formula>0.75</formula>
    </cfRule>
    <cfRule type="cellIs" dxfId="449" priority="22" stopIfTrue="1" operator="greaterThan">
      <formula>0.75</formula>
    </cfRule>
    <cfRule type="cellIs" dxfId="448" priority="20" stopIfTrue="1" operator="lessThan">
      <formula>0.5</formula>
    </cfRule>
  </conditionalFormatting>
  <conditionalFormatting sqref="G71:G78">
    <cfRule type="containsText" dxfId="447" priority="19" stopIfTrue="1" operator="containsText" text="RED FLAG">
      <formula>NOT(ISERROR(SEARCH("RED FLAG",G71)))</formula>
    </cfRule>
  </conditionalFormatting>
  <conditionalFormatting sqref="G72:G78">
    <cfRule type="cellIs" dxfId="446" priority="591" stopIfTrue="1" operator="lessThan">
      <formula>0.5</formula>
    </cfRule>
    <cfRule type="cellIs" dxfId="445" priority="592" stopIfTrue="1" operator="between">
      <formula>0.5</formula>
      <formula>0.75</formula>
    </cfRule>
    <cfRule type="cellIs" dxfId="444" priority="593" stopIfTrue="1" operator="greaterThan">
      <formula>0.75</formula>
    </cfRule>
  </conditionalFormatting>
  <conditionalFormatting sqref="G74:G81">
    <cfRule type="cellIs" dxfId="443" priority="16" stopIfTrue="1" operator="lessThan">
      <formula>0.5</formula>
    </cfRule>
    <cfRule type="cellIs" dxfId="442" priority="18" stopIfTrue="1" operator="greaterThan">
      <formula>0.75</formula>
    </cfRule>
    <cfRule type="cellIs" dxfId="441" priority="17" stopIfTrue="1" operator="between">
      <formula>0.5</formula>
      <formula>0.75</formula>
    </cfRule>
  </conditionalFormatting>
  <conditionalFormatting sqref="G75:G78">
    <cfRule type="cellIs" dxfId="440" priority="581" stopIfTrue="1" operator="greaterThan">
      <formula>0.75</formula>
    </cfRule>
    <cfRule type="cellIs" dxfId="439" priority="580" stopIfTrue="1" operator="between">
      <formula>0.5</formula>
      <formula>0.75</formula>
    </cfRule>
    <cfRule type="cellIs" dxfId="438" priority="579" stopIfTrue="1" operator="lessThan">
      <formula>0.5</formula>
    </cfRule>
  </conditionalFormatting>
  <conditionalFormatting sqref="G79:G87">
    <cfRule type="containsText" dxfId="437" priority="15" stopIfTrue="1" operator="containsText" text="RED FLAG">
      <formula>NOT(ISERROR(SEARCH("RED FLAG",G79)))</formula>
    </cfRule>
  </conditionalFormatting>
  <conditionalFormatting sqref="G84:G87">
    <cfRule type="cellIs" dxfId="436" priority="449" stopIfTrue="1" operator="greaterThan">
      <formula>0.75</formula>
    </cfRule>
    <cfRule type="cellIs" dxfId="435" priority="448" stopIfTrue="1" operator="between">
      <formula>0.5</formula>
      <formula>0.75</formula>
    </cfRule>
    <cfRule type="cellIs" dxfId="434" priority="447" stopIfTrue="1" operator="lessThan">
      <formula>0.5</formula>
    </cfRule>
  </conditionalFormatting>
  <conditionalFormatting sqref="G86:G87">
    <cfRule type="cellIs" dxfId="433" priority="450" stopIfTrue="1" operator="lessThan">
      <formula>0.5</formula>
    </cfRule>
    <cfRule type="cellIs" dxfId="432" priority="451" stopIfTrue="1" operator="between">
      <formula>0.5</formula>
      <formula>0.75</formula>
    </cfRule>
    <cfRule type="cellIs" dxfId="431" priority="452" stopIfTrue="1" operator="greaterThan">
      <formula>0.75</formula>
    </cfRule>
  </conditionalFormatting>
  <conditionalFormatting sqref="G92:G95">
    <cfRule type="cellIs" dxfId="430" priority="446" stopIfTrue="1" operator="greaterThan">
      <formula>0.75</formula>
    </cfRule>
    <cfRule type="cellIs" dxfId="429" priority="445" stopIfTrue="1" operator="between">
      <formula>0.5</formula>
      <formula>0.75</formula>
    </cfRule>
    <cfRule type="cellIs" dxfId="428" priority="444" stopIfTrue="1" operator="lessThan">
      <formula>0.5</formula>
    </cfRule>
  </conditionalFormatting>
  <conditionalFormatting sqref="G93:G95">
    <cfRule type="cellIs" dxfId="427" priority="14" stopIfTrue="1" operator="greaterThan">
      <formula>0.75</formula>
    </cfRule>
    <cfRule type="cellIs" dxfId="426" priority="13" stopIfTrue="1" operator="between">
      <formula>0.5</formula>
      <formula>0.75</formula>
    </cfRule>
    <cfRule type="cellIs" dxfId="425" priority="12" stopIfTrue="1" operator="lessThan">
      <formula>0.5</formula>
    </cfRule>
    <cfRule type="cellIs" dxfId="424" priority="11" stopIfTrue="1" operator="greaterThan">
      <formula>0.75</formula>
    </cfRule>
    <cfRule type="cellIs" dxfId="423" priority="10" stopIfTrue="1" operator="between">
      <formula>0.5</formula>
      <formula>0.75</formula>
    </cfRule>
    <cfRule type="cellIs" dxfId="422" priority="9" stopIfTrue="1" operator="lessThan">
      <formula>0.5</formula>
    </cfRule>
  </conditionalFormatting>
  <conditionalFormatting sqref="I20">
    <cfRule type="cellIs" dxfId="421" priority="65" stopIfTrue="1" operator="greaterThan">
      <formula>0.75</formula>
    </cfRule>
    <cfRule type="cellIs" dxfId="420" priority="64" stopIfTrue="1" operator="between">
      <formula>0.5</formula>
      <formula>0.75</formula>
    </cfRule>
    <cfRule type="cellIs" dxfId="419" priority="63" stopIfTrue="1" operator="lessThan">
      <formula>0.5</formula>
    </cfRule>
    <cfRule type="containsText" dxfId="418" priority="62" stopIfTrue="1" operator="containsText" text="RED FLAG">
      <formula>NOT(ISERROR(SEARCH("RED FLAG",I20)))</formula>
    </cfRule>
  </conditionalFormatting>
  <conditionalFormatting sqref="I65">
    <cfRule type="containsText" dxfId="417" priority="45" stopIfTrue="1" operator="containsText" text="RED FLAG">
      <formula>NOT(ISERROR(SEARCH("RED FLAG",I65)))</formula>
    </cfRule>
    <cfRule type="cellIs" dxfId="416" priority="48" stopIfTrue="1" operator="greaterThan">
      <formula>0.75</formula>
    </cfRule>
    <cfRule type="cellIs" dxfId="415" priority="47" stopIfTrue="1" operator="between">
      <formula>0.5</formula>
      <formula>0.75</formula>
    </cfRule>
    <cfRule type="cellIs" dxfId="414" priority="46" stopIfTrue="1" operator="lessThan">
      <formula>0.5</formula>
    </cfRule>
  </conditionalFormatting>
  <conditionalFormatting sqref="I67:I68 I71 I79 I91">
    <cfRule type="containsText" dxfId="413" priority="61" operator="containsText" text="Training Opportunity">
      <formula>NOT(ISERROR(SEARCH("Training Opportunity",I67)))</formula>
    </cfRule>
  </conditionalFormatting>
  <conditionalFormatting sqref="I76">
    <cfRule type="containsText" dxfId="412" priority="49" stopIfTrue="1" operator="containsText" text="RED FLAG">
      <formula>NOT(ISERROR(SEARCH("RED FLAG",I76)))</formula>
    </cfRule>
    <cfRule type="cellIs" dxfId="411" priority="50" stopIfTrue="1" operator="lessThan">
      <formula>0.5</formula>
    </cfRule>
    <cfRule type="cellIs" dxfId="410" priority="51" stopIfTrue="1" operator="between">
      <formula>0.5</formula>
      <formula>0.75</formula>
    </cfRule>
    <cfRule type="cellIs" dxfId="409" priority="52" stopIfTrue="1" operator="greaterThan">
      <formula>0.75</formula>
    </cfRule>
  </conditionalFormatting>
  <conditionalFormatting sqref="I88">
    <cfRule type="containsText" dxfId="408" priority="44" operator="containsText" text="System Flag">
      <formula>NOT(ISERROR(SEARCH("System Flag",I88)))</formula>
    </cfRule>
  </conditionalFormatting>
  <conditionalFormatting sqref="I93:I95">
    <cfRule type="cellIs" dxfId="407" priority="55" stopIfTrue="1" operator="between">
      <formula>0.5</formula>
      <formula>0.75</formula>
    </cfRule>
    <cfRule type="cellIs" dxfId="406" priority="54" stopIfTrue="1" operator="lessThan">
      <formula>0.5</formula>
    </cfRule>
    <cfRule type="containsText" dxfId="405" priority="53" stopIfTrue="1" operator="containsText" text="RED FLAG">
      <formula>NOT(ISERROR(SEARCH("RED FLAG",I93)))</formula>
    </cfRule>
    <cfRule type="cellIs" dxfId="404" priority="56" stopIfTrue="1" operator="greaterThan">
      <formula>0.75</formula>
    </cfRule>
  </conditionalFormatting>
  <dataValidations count="4">
    <dataValidation type="list" allowBlank="1" showInputMessage="1" showErrorMessage="1" sqref="C24 C71 C67:C68 C79 C91" xr:uid="{00000000-0002-0000-0F00-000000000000}">
      <formula1>"1,2,3"</formula1>
    </dataValidation>
    <dataValidation type="list" allowBlank="1" showInputMessage="1" showErrorMessage="1" sqref="C65 C61 C93:C95 C7 C10:C11 C45 C36" xr:uid="{00000000-0002-0000-0F00-000001000000}">
      <formula1>"Yes,No,NA"</formula1>
    </dataValidation>
    <dataValidation type="list" allowBlank="1" showInputMessage="1" showErrorMessage="1" sqref="C16:C23 C27:C28 C48:C50 C52:C57 C74:C78 C59:C60 C70 C12:C13 C4:C6 C85:C88 C46 C43:C44 C30:C32 C34:C35 C40:C41 C37:C38 C8:C9" xr:uid="{00000000-0002-0000-0F00-000002000000}">
      <formula1>"Yes,No"</formula1>
    </dataValidation>
    <dataValidation type="list" allowBlank="1" showInputMessage="1" showErrorMessage="1" sqref="C84" xr:uid="{00000000-0002-0000-0F00-000003000000}">
      <formula1>"1,2,3,4"</formula1>
    </dataValidation>
  </dataValidations>
  <hyperlinks>
    <hyperlink ref="B89" r:id="rId1" display="http://www.eucast.org/ast_of_bacteria/guidance_documents/  " xr:uid="{00000000-0004-0000-0F00-000000000000}"/>
    <hyperlink ref="B90" r:id="rId2" display="http://clsi-m100.com/" xr:uid="{00000000-0004-0000-0F00-000001000000}"/>
  </hyperlinks>
  <pageMargins left="0.25" right="0.25" top="0.75000000000000011" bottom="0.75000000000000011" header="0.30000000000000004" footer="0.30000000000000004"/>
  <pageSetup paperSize="9" scale="88" fitToHeight="4" orientation="landscape" r:id="rId3"/>
  <headerFooter>
    <oddFooter>&amp;C&amp;A -&amp;P</oddFooter>
  </headerFooter>
  <rowBreaks count="4" manualBreakCount="4">
    <brk id="22" max="7" man="1"/>
    <brk id="46" max="4" man="1"/>
    <brk id="70" max="4" man="1"/>
    <brk id="90"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70C0"/>
    <pageSetUpPr fitToPage="1"/>
  </sheetPr>
  <dimension ref="A1:J160"/>
  <sheetViews>
    <sheetView zoomScaleNormal="100" zoomScalePageLayoutView="80" workbookViewId="0">
      <selection activeCell="C6" sqref="C6"/>
    </sheetView>
  </sheetViews>
  <sheetFormatPr defaultColWidth="11" defaultRowHeight="15.6"/>
  <cols>
    <col min="1" max="1" width="4.69921875" style="6" customWidth="1"/>
    <col min="2" max="2" width="82.19921875" style="8" customWidth="1"/>
    <col min="3" max="3" width="5.19921875" style="30" bestFit="1" customWidth="1"/>
    <col min="4" max="4" width="3.69921875" customWidth="1"/>
    <col min="5" max="5" width="3.69921875" hidden="1" customWidth="1"/>
    <col min="6" max="6" width="5.19921875" style="30" hidden="1" customWidth="1"/>
    <col min="7" max="7" width="5.19921875" customWidth="1"/>
    <col min="8" max="8" width="37.69921875" style="259" customWidth="1"/>
    <col min="9" max="9" width="9.69921875" style="1" customWidth="1"/>
    <col min="10" max="10" width="7.19921875" customWidth="1"/>
  </cols>
  <sheetData>
    <row r="1" spans="1:9">
      <c r="A1" s="10"/>
      <c r="B1" s="43" t="str">
        <f>Language!A1431</f>
        <v>12- AST EXPERT RULES</v>
      </c>
      <c r="C1" s="51" t="str">
        <f>IF(COUNT(G3:G207)=0,"???",AVERAGE(G3:G207))</f>
        <v>???</v>
      </c>
      <c r="F1" s="28"/>
      <c r="H1" s="256" t="str">
        <f>'Facility 1'!H1</f>
        <v>Comments</v>
      </c>
    </row>
    <row r="2" spans="1:9" ht="16.2" thickBot="1">
      <c r="A2" s="10"/>
      <c r="B2" s="202" t="str">
        <f>Language!A1432</f>
        <v>Please note: all questions refer only to clinical patient isolates, NOT to research or environmental isolates</v>
      </c>
      <c r="C2" s="19"/>
      <c r="F2" s="28"/>
      <c r="H2" s="257"/>
    </row>
    <row r="3" spans="1:9" ht="16.2" thickBot="1">
      <c r="A3" s="160"/>
      <c r="B3" s="34" t="str">
        <f>Language!A1433</f>
        <v>EXPERT RULES FOR SALMONELLA</v>
      </c>
      <c r="C3" s="44" t="str">
        <f>IF(COUNTBLANK(C6:C11)=6,"???",IF(COUNT(G6:G11)=0,"NA",AVERAGE(G6:G11)))</f>
        <v>???</v>
      </c>
      <c r="E3" s="30"/>
      <c r="F3" s="28"/>
      <c r="G3" s="30"/>
      <c r="H3" s="417"/>
    </row>
    <row r="4" spans="1:9" ht="27.6" customHeight="1">
      <c r="A4" s="10"/>
      <c r="B4" s="8" t="str">
        <f>Language!A1434</f>
        <v xml:space="preserve">Review a patient AST report for a Salmonella or Shigella isolate. Were any of the following drug classes tested or reported? </v>
      </c>
      <c r="C4" s="2"/>
      <c r="D4" s="2"/>
      <c r="F4" s="2"/>
      <c r="H4" s="261"/>
    </row>
    <row r="5" spans="1:9" ht="41.55" customHeight="1">
      <c r="A5" s="10"/>
      <c r="B5" s="439" t="str">
        <f>Language!A1435</f>
        <v>These drugs may appear active in vitro but are not effective clinically against Salmonella or Shigella and should not be reported as susceptible, regardless of the AST result.</v>
      </c>
      <c r="C5" s="70"/>
      <c r="F5" s="29"/>
      <c r="G5" s="18"/>
      <c r="H5"/>
      <c r="I5" s="106"/>
    </row>
    <row r="6" spans="1:9">
      <c r="A6" s="10" t="s">
        <v>6376</v>
      </c>
      <c r="B6" s="37" t="str">
        <f>Language!A1436</f>
        <v>1st generation cephalosporins (cefazolin, cephalothin, cephapirin, cephadrine)</v>
      </c>
      <c r="C6" s="27"/>
      <c r="F6" s="29">
        <f t="shared" ref="F6:F11" si="0">C6</f>
        <v>0</v>
      </c>
      <c r="G6" s="18" t="str">
        <f>IF(F6="No",1,IF(F6="Yes",0,"'"))</f>
        <v>'</v>
      </c>
      <c r="H6" s="422"/>
      <c r="I6" s="106" t="str">
        <f>IF(F6="Yes","Red Flag","'")</f>
        <v>'</v>
      </c>
    </row>
    <row r="7" spans="1:9">
      <c r="A7" s="10" t="s">
        <v>6377</v>
      </c>
      <c r="B7" s="37" t="str">
        <f>Language!A1437</f>
        <v>2nd generation cephalosporins (cefuroxime, cefonicid, cefamandole)</v>
      </c>
      <c r="C7" s="27"/>
      <c r="F7" s="29">
        <f t="shared" si="0"/>
        <v>0</v>
      </c>
      <c r="G7" s="18" t="str">
        <f t="shared" ref="G7:G10" si="1">IF(F7="No",1,IF(F7="Yes",0,"'"))</f>
        <v>'</v>
      </c>
      <c r="H7" s="422"/>
      <c r="I7" s="106" t="str">
        <f t="shared" ref="I7:I10" si="2">IF(F7="Yes","Red Flag","'")</f>
        <v>'</v>
      </c>
    </row>
    <row r="8" spans="1:9">
      <c r="A8" s="10" t="s">
        <v>6378</v>
      </c>
      <c r="B8" s="37" t="str">
        <f>Language!A1438</f>
        <v>Cephamycins (cefoxitin, cefotetan)</v>
      </c>
      <c r="C8" s="27"/>
      <c r="F8" s="29">
        <f t="shared" si="0"/>
        <v>0</v>
      </c>
      <c r="G8" s="18" t="str">
        <f t="shared" si="1"/>
        <v>'</v>
      </c>
      <c r="H8" s="422"/>
      <c r="I8" s="106" t="str">
        <f t="shared" si="2"/>
        <v>'</v>
      </c>
    </row>
    <row r="9" spans="1:9">
      <c r="A9" s="10" t="s">
        <v>6379</v>
      </c>
      <c r="B9" s="37" t="str">
        <f>Language!A1439</f>
        <v>Aminoglycosides (gentamicin, tobramycin, amikacin)</v>
      </c>
      <c r="C9" s="27"/>
      <c r="F9" s="29">
        <f t="shared" si="0"/>
        <v>0</v>
      </c>
      <c r="G9" s="18" t="str">
        <f t="shared" si="1"/>
        <v>'</v>
      </c>
      <c r="H9" s="422"/>
      <c r="I9" s="106" t="str">
        <f t="shared" si="2"/>
        <v>'</v>
      </c>
    </row>
    <row r="10" spans="1:9" ht="27.6" customHeight="1">
      <c r="A10" s="10" t="s">
        <v>6380</v>
      </c>
      <c r="B10" s="8" t="str">
        <f>Language!A1440</f>
        <v>Does the lab use Nalidixic Acid to screen Salmonella isolates for ciprofloxacin resistance?</v>
      </c>
      <c r="C10" s="27"/>
      <c r="F10" s="29">
        <f t="shared" si="0"/>
        <v>0</v>
      </c>
      <c r="G10" s="18" t="str">
        <f t="shared" si="1"/>
        <v>'</v>
      </c>
      <c r="H10" s="422"/>
      <c r="I10" s="106" t="str">
        <f t="shared" si="2"/>
        <v>'</v>
      </c>
    </row>
    <row r="11" spans="1:9" ht="27.6" customHeight="1">
      <c r="A11" s="10" t="s">
        <v>6381</v>
      </c>
      <c r="B11" s="8" t="str">
        <f>Language!A1441</f>
        <v xml:space="preserve">Compare the lab’s AST bench aids and SOPs to the Salmonella table in the Assessor’s Guide. Does the lab use the correct fluoroquinolone (FQ) breakpoints for Salmonella spp? </v>
      </c>
      <c r="C11" s="27"/>
      <c r="F11" s="29">
        <f t="shared" si="0"/>
        <v>0</v>
      </c>
      <c r="G11" s="18" t="str">
        <f>IF(F11="Yes",1,IF(F11="No",0,"'"))</f>
        <v>'</v>
      </c>
      <c r="H11" s="422"/>
      <c r="I11" s="15" t="str">
        <f>IF(F11="No","Red Flag","'")</f>
        <v>'</v>
      </c>
    </row>
    <row r="12" spans="1:9" ht="16.2" thickBot="1">
      <c r="A12" s="10"/>
      <c r="B12" s="439" t="str">
        <f>Language!A1442</f>
        <v>(Enterobacteriaceae FQ breakpoints should not be used for Salmonella spp).</v>
      </c>
      <c r="C12" s="70"/>
      <c r="F12" s="29"/>
      <c r="G12" s="18"/>
      <c r="H12" s="260"/>
      <c r="I12" s="15"/>
    </row>
    <row r="13" spans="1:9" ht="16.2" thickBot="1">
      <c r="A13" s="160"/>
      <c r="B13" s="34" t="str">
        <f>Language!A1443</f>
        <v>GRAM NEGATIVES &amp; BETA-LACTAM BREAKPOINTS</v>
      </c>
      <c r="C13" s="44" t="str">
        <f>IF(COUNTBLANK(C21:C39)=19,"???",IF(COUNT(G21:G39)=0,"NA",AVERAGE(G21:G39)))</f>
        <v>???</v>
      </c>
      <c r="D13" s="22"/>
      <c r="E13" s="22"/>
      <c r="F13" s="29"/>
      <c r="G13" s="18"/>
      <c r="H13" s="417"/>
    </row>
    <row r="14" spans="1:9">
      <c r="A14" s="10"/>
      <c r="B14" s="24" t="str">
        <f>Language!A1444</f>
        <v>IMPORTANT! Please read the information below before proceeding:</v>
      </c>
      <c r="C14" s="28"/>
      <c r="D14" s="22"/>
      <c r="E14" s="22"/>
      <c r="F14" s="102"/>
      <c r="G14" s="22"/>
    </row>
    <row r="15" spans="1:9">
      <c r="A15" s="10"/>
      <c r="B15" s="636" t="str">
        <f>Language!A1445</f>
        <v xml:space="preserve">Beginning in 2009, CLSI and EUCAST lowered the breakpoints for several beta-lactam antibiotics and Aztreonam in order to enhance the detection of resistance. </v>
      </c>
      <c r="C15" s="637"/>
      <c r="D15" s="637"/>
      <c r="E15" s="637"/>
      <c r="F15" s="637"/>
      <c r="G15" s="637"/>
      <c r="H15" s="637"/>
    </row>
    <row r="16" spans="1:9" ht="27.6" customHeight="1">
      <c r="A16" s="10"/>
      <c r="B16" s="638" t="str">
        <f>Language!A1446</f>
        <v>Even if a laboratory has current CLSI or EUCAST manuals, they may have failed to update their bench aids and SOPs to reflect current breakpoints.</v>
      </c>
      <c r="C16" s="639"/>
      <c r="D16" s="639"/>
      <c r="E16" s="639"/>
      <c r="F16" s="639"/>
      <c r="G16" s="639"/>
      <c r="H16" s="639"/>
    </row>
    <row r="17" spans="1:9">
      <c r="A17" s="10"/>
      <c r="B17" s="638" t="str">
        <f>Language!A1447</f>
        <v>Since the bench aids and SOPs are used by technologists for AST interpretation, it is crucial that these are up to date as well.</v>
      </c>
      <c r="C17" s="639"/>
      <c r="D17" s="639"/>
      <c r="E17" s="639"/>
      <c r="F17" s="639"/>
      <c r="G17" s="639"/>
      <c r="H17" s="639"/>
    </row>
    <row r="18" spans="1:9" ht="27.6" customHeight="1">
      <c r="A18" s="117"/>
      <c r="B18" s="636" t="str">
        <f>Language!A1448</f>
        <v xml:space="preserve">The Assessor’s Guide shows the current breakpoints for these antibiotics. Compare this table to the bench aids and SOPs the technologists use for zone size and MIC interpretation. </v>
      </c>
      <c r="C18" s="637"/>
      <c r="D18" s="637"/>
      <c r="E18" s="637"/>
      <c r="F18" s="637"/>
      <c r="G18" s="637"/>
      <c r="H18" s="637"/>
      <c r="I18"/>
    </row>
    <row r="19" spans="1:9" ht="27.6" customHeight="1">
      <c r="A19" s="117"/>
      <c r="B19" s="168" t="str">
        <f>Language!A1449</f>
        <v>Do the bench aids and SOPs have the current breakpoints for the following combinations?</v>
      </c>
      <c r="C19" s="132"/>
      <c r="D19" s="2"/>
      <c r="F19"/>
      <c r="H19" s="261"/>
      <c r="I19"/>
    </row>
    <row r="20" spans="1:9">
      <c r="A20" s="10"/>
      <c r="B20" s="439" t="str">
        <f>Language!A1450</f>
        <v>(Select NA if the antibiotic is not in use)</v>
      </c>
      <c r="C20" s="2"/>
      <c r="D20" s="2"/>
      <c r="H20" s="263"/>
    </row>
    <row r="21" spans="1:9">
      <c r="A21" s="10" t="s">
        <v>6382</v>
      </c>
      <c r="B21" s="37" t="str">
        <f>Language!A1451</f>
        <v>Enterobacteriaceae and Aztreonam</v>
      </c>
      <c r="C21" s="27"/>
      <c r="F21" s="29">
        <f t="shared" ref="F21:F39" si="3">C21</f>
        <v>0</v>
      </c>
      <c r="G21" s="18" t="str">
        <f>IF(F21="Yes",1,IF(F21="No",0,"'"))</f>
        <v>'</v>
      </c>
      <c r="H21" s="422"/>
    </row>
    <row r="22" spans="1:9">
      <c r="A22" s="10" t="s">
        <v>6383</v>
      </c>
      <c r="B22" s="37" t="str">
        <f>Language!A1452</f>
        <v>Enterobacteriaceae and Cefotaxime</v>
      </c>
      <c r="C22" s="27"/>
      <c r="F22" s="29">
        <f t="shared" si="3"/>
        <v>0</v>
      </c>
      <c r="G22" s="18" t="str">
        <f t="shared" ref="G22:G39" si="4">IF(F22="Yes",1,IF(F22="No",0,"'"))</f>
        <v>'</v>
      </c>
      <c r="H22" s="422"/>
    </row>
    <row r="23" spans="1:9">
      <c r="A23" s="10" t="s">
        <v>6384</v>
      </c>
      <c r="B23" s="37" t="str">
        <f>Language!A1453</f>
        <v>Enterobacteriaceae and Ceftriaxone</v>
      </c>
      <c r="C23" s="27"/>
      <c r="F23" s="29">
        <f t="shared" si="3"/>
        <v>0</v>
      </c>
      <c r="G23" s="18" t="str">
        <f t="shared" si="4"/>
        <v>'</v>
      </c>
      <c r="H23" s="422"/>
    </row>
    <row r="24" spans="1:9">
      <c r="A24" s="10" t="s">
        <v>6385</v>
      </c>
      <c r="B24" s="37" t="str">
        <f>Language!A1454</f>
        <v>Enterobacteriaceae and Ceftazidime</v>
      </c>
      <c r="C24" s="27"/>
      <c r="F24" s="29">
        <f t="shared" si="3"/>
        <v>0</v>
      </c>
      <c r="G24" s="18" t="str">
        <f t="shared" si="4"/>
        <v>'</v>
      </c>
      <c r="H24" s="422"/>
    </row>
    <row r="25" spans="1:9">
      <c r="A25" s="10" t="s">
        <v>6386</v>
      </c>
      <c r="B25" s="37" t="str">
        <f>Language!A1455</f>
        <v>Enterobacteriaceae and Cefepime</v>
      </c>
      <c r="C25" s="27"/>
      <c r="F25" s="29">
        <f t="shared" si="3"/>
        <v>0</v>
      </c>
      <c r="G25" s="18" t="str">
        <f t="shared" si="4"/>
        <v>'</v>
      </c>
      <c r="H25" s="422"/>
    </row>
    <row r="26" spans="1:9">
      <c r="A26" s="10" t="s">
        <v>6387</v>
      </c>
      <c r="B26" s="37" t="str">
        <f>Language!A1456</f>
        <v>Enterobacteriaceae and Imipenem</v>
      </c>
      <c r="C26" s="27"/>
      <c r="F26" s="29">
        <f t="shared" si="3"/>
        <v>0</v>
      </c>
      <c r="G26" s="18" t="str">
        <f t="shared" si="4"/>
        <v>'</v>
      </c>
      <c r="H26" s="422"/>
    </row>
    <row r="27" spans="1:9">
      <c r="A27" s="10" t="s">
        <v>6388</v>
      </c>
      <c r="B27" s="37" t="str">
        <f>Language!A1457</f>
        <v>Enterobacteriaceae and Meropenem</v>
      </c>
      <c r="C27" s="27"/>
      <c r="F27" s="29">
        <f t="shared" si="3"/>
        <v>0</v>
      </c>
      <c r="G27" s="18" t="str">
        <f t="shared" si="4"/>
        <v>'</v>
      </c>
      <c r="H27" s="422"/>
    </row>
    <row r="28" spans="1:9">
      <c r="A28" s="10" t="s">
        <v>6389</v>
      </c>
      <c r="B28" s="37" t="str">
        <f>Language!A1458</f>
        <v>Enterobacteriaceae and Ertapenem</v>
      </c>
      <c r="C28" s="27"/>
      <c r="F28" s="29">
        <f t="shared" si="3"/>
        <v>0</v>
      </c>
      <c r="G28" s="18" t="str">
        <f t="shared" si="4"/>
        <v>'</v>
      </c>
      <c r="H28" s="422"/>
    </row>
    <row r="29" spans="1:9">
      <c r="A29" s="10" t="s">
        <v>6390</v>
      </c>
      <c r="B29" s="37" t="str">
        <f>Language!A1459</f>
        <v>Enterobacteriaceae and Doripenem</v>
      </c>
      <c r="C29" s="27"/>
      <c r="F29" s="29">
        <f t="shared" si="3"/>
        <v>0</v>
      </c>
      <c r="G29" s="18" t="str">
        <f t="shared" si="4"/>
        <v>'</v>
      </c>
      <c r="H29" s="422"/>
    </row>
    <row r="30" spans="1:9">
      <c r="A30" s="10" t="s">
        <v>6391</v>
      </c>
      <c r="B30" s="37" t="str">
        <f>Language!A1460</f>
        <v>Acinetobacter and Imipenem</v>
      </c>
      <c r="C30" s="27"/>
      <c r="F30" s="29">
        <f t="shared" si="3"/>
        <v>0</v>
      </c>
      <c r="G30" s="18" t="str">
        <f t="shared" si="4"/>
        <v>'</v>
      </c>
      <c r="H30" s="422"/>
    </row>
    <row r="31" spans="1:9">
      <c r="A31" s="10" t="s">
        <v>6392</v>
      </c>
      <c r="B31" s="37" t="str">
        <f>Language!A1461</f>
        <v>Acinetobacter and Meropenem</v>
      </c>
      <c r="C31" s="27"/>
      <c r="F31" s="29">
        <f t="shared" si="3"/>
        <v>0</v>
      </c>
      <c r="G31" s="18" t="str">
        <f t="shared" si="4"/>
        <v>'</v>
      </c>
      <c r="H31" s="422"/>
    </row>
    <row r="32" spans="1:9">
      <c r="A32" s="10" t="s">
        <v>6393</v>
      </c>
      <c r="B32" s="37" t="str">
        <f>Language!A1462</f>
        <v>Acinetobacter and Doripenem</v>
      </c>
      <c r="C32" s="27"/>
      <c r="F32" s="29">
        <f t="shared" si="3"/>
        <v>0</v>
      </c>
      <c r="G32" s="18" t="str">
        <f t="shared" si="4"/>
        <v>'</v>
      </c>
      <c r="H32" s="422"/>
    </row>
    <row r="33" spans="1:10">
      <c r="A33" s="10" t="s">
        <v>6394</v>
      </c>
      <c r="B33" s="37" t="str">
        <f>Language!A1463</f>
        <v>Pseudomonas and Cefepime</v>
      </c>
      <c r="C33" s="27"/>
      <c r="F33" s="29">
        <f t="shared" si="3"/>
        <v>0</v>
      </c>
      <c r="G33" s="18" t="str">
        <f t="shared" si="4"/>
        <v>'</v>
      </c>
      <c r="H33" s="422"/>
    </row>
    <row r="34" spans="1:10">
      <c r="A34" s="10" t="s">
        <v>6395</v>
      </c>
      <c r="B34" s="37" t="str">
        <f>Language!A1464</f>
        <v>Pseudomonas and Piperacillin</v>
      </c>
      <c r="C34" s="27"/>
      <c r="F34" s="29">
        <f t="shared" si="3"/>
        <v>0</v>
      </c>
      <c r="G34" s="18" t="str">
        <f t="shared" si="4"/>
        <v>'</v>
      </c>
      <c r="H34" s="422"/>
    </row>
    <row r="35" spans="1:10">
      <c r="A35" s="10" t="s">
        <v>6396</v>
      </c>
      <c r="B35" s="37" t="str">
        <f>Language!A1465</f>
        <v>Pseudomonas and Piperacillin-Tazobactam</v>
      </c>
      <c r="C35" s="27"/>
      <c r="F35" s="29">
        <f t="shared" si="3"/>
        <v>0</v>
      </c>
      <c r="G35" s="18" t="str">
        <f t="shared" si="4"/>
        <v>'</v>
      </c>
      <c r="H35" s="422"/>
    </row>
    <row r="36" spans="1:10">
      <c r="A36" s="10" t="s">
        <v>6397</v>
      </c>
      <c r="B36" s="37" t="str">
        <f>Language!A1466</f>
        <v>Pseudomonas and Ticarcillin-Clavulanate</v>
      </c>
      <c r="C36" s="27"/>
      <c r="F36" s="29">
        <f t="shared" si="3"/>
        <v>0</v>
      </c>
      <c r="G36" s="18" t="str">
        <f t="shared" si="4"/>
        <v>'</v>
      </c>
      <c r="H36" s="422"/>
    </row>
    <row r="37" spans="1:10">
      <c r="A37" s="10" t="s">
        <v>6398</v>
      </c>
      <c r="B37" s="37" t="str">
        <f>Language!A1467</f>
        <v>Pseudomonas and Imipenem</v>
      </c>
      <c r="C37" s="27"/>
      <c r="F37" s="29">
        <f t="shared" si="3"/>
        <v>0</v>
      </c>
      <c r="G37" s="18" t="str">
        <f t="shared" si="4"/>
        <v>'</v>
      </c>
      <c r="H37" s="422"/>
    </row>
    <row r="38" spans="1:10">
      <c r="A38" s="10" t="s">
        <v>6399</v>
      </c>
      <c r="B38" s="37" t="str">
        <f>Language!A1468</f>
        <v>Pseudomonas and Meropenem</v>
      </c>
      <c r="C38" s="27"/>
      <c r="F38" s="29">
        <f t="shared" si="3"/>
        <v>0</v>
      </c>
      <c r="G38" s="18" t="str">
        <f t="shared" si="4"/>
        <v>'</v>
      </c>
      <c r="H38" s="422"/>
    </row>
    <row r="39" spans="1:10">
      <c r="A39" s="10" t="s">
        <v>6400</v>
      </c>
      <c r="B39" s="37" t="str">
        <f>Language!A1469</f>
        <v>Pseudomonas and Doripenem</v>
      </c>
      <c r="C39" s="27"/>
      <c r="F39" s="29">
        <f t="shared" si="3"/>
        <v>0</v>
      </c>
      <c r="G39" s="18" t="str">
        <f t="shared" si="4"/>
        <v>'</v>
      </c>
      <c r="H39" s="422"/>
    </row>
    <row r="40" spans="1:10" ht="16.2" thickBot="1">
      <c r="A40" s="16"/>
      <c r="B40" s="444"/>
      <c r="C40" s="98"/>
      <c r="D40" s="400"/>
      <c r="E40" s="150"/>
      <c r="F40" s="194"/>
      <c r="G40" s="150"/>
      <c r="H40" s="212"/>
      <c r="I40"/>
      <c r="J40" s="150"/>
    </row>
    <row r="41" spans="1:10" ht="16.2" thickBot="1">
      <c r="A41" s="160"/>
      <c r="B41" s="34" t="str">
        <f>Language!A1470</f>
        <v>PHENOTYPIC ESBL TESTING</v>
      </c>
      <c r="C41" s="44" t="str">
        <f>IF(COUNTBLANK(C43:C53)=11,"???",IF(COUNT(G43:G53)=0,"'",AVERAGE(G43:G53)))</f>
        <v>???</v>
      </c>
      <c r="E41" s="30"/>
      <c r="G41" s="30"/>
      <c r="H41" s="417"/>
    </row>
    <row r="42" spans="1:10" ht="41.55" customHeight="1">
      <c r="A42" s="10"/>
      <c r="B42" s="24" t="str">
        <f>Language!A1471</f>
        <v>NOTE: Questions 12.26 and 12.27 only apply to labs that do NOT use current cephalosporin and aztreonam breakpoints. If this lab uses current breakpoints, select NA for both questions and skip to question 12.28</v>
      </c>
      <c r="C42"/>
      <c r="F42"/>
      <c r="H42" s="261"/>
    </row>
    <row r="43" spans="1:10" ht="55.2" customHeight="1">
      <c r="A43" s="10" t="s">
        <v>6401</v>
      </c>
      <c r="B43" s="8" t="str">
        <f>Language!A1472</f>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C43" s="27"/>
      <c r="F43" s="29">
        <f>C43</f>
        <v>0</v>
      </c>
      <c r="G43" s="18" t="str">
        <f>IF(F43="Yes",1,IF(F43="No",0,"'"))</f>
        <v>'</v>
      </c>
      <c r="H43" s="435"/>
      <c r="I43" s="18" t="str">
        <f>IF(C43="No","Red Flag","'")</f>
        <v>'</v>
      </c>
    </row>
    <row r="44" spans="1:10" ht="55.2" customHeight="1">
      <c r="A44" s="10" t="s">
        <v>6402</v>
      </c>
      <c r="B44" s="8" t="str">
        <f>Language!A1473</f>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C44" s="27"/>
      <c r="F44" s="29">
        <f>C44</f>
        <v>0</v>
      </c>
      <c r="G44" s="18" t="str">
        <f t="shared" ref="G44:G45" si="5">IF(F44="Yes",1,IF(F44="No",0,"'"))</f>
        <v>'</v>
      </c>
      <c r="H44" s="436"/>
      <c r="I44" s="18" t="str">
        <f>IF(C44="No","Red Flag","'")</f>
        <v>'</v>
      </c>
    </row>
    <row r="45" spans="1:10" ht="69" customHeight="1">
      <c r="A45" s="10" t="s">
        <v>6403</v>
      </c>
      <c r="B45" s="8" t="str">
        <f>Language!A1474</f>
        <v>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v>
      </c>
      <c r="C45" s="27"/>
      <c r="F45" s="29">
        <f>C45</f>
        <v>0</v>
      </c>
      <c r="G45" s="18" t="str">
        <f t="shared" si="5"/>
        <v>'</v>
      </c>
      <c r="H45" s="437"/>
      <c r="J45" s="204"/>
    </row>
    <row r="46" spans="1:10" ht="27.6" customHeight="1">
      <c r="A46" s="10"/>
      <c r="B46" s="439" t="str">
        <f>Language!A1475</f>
        <v>Note: Select NA for the question above if the lab does NOT use current cephalosporin and aztreonam breakpoints</v>
      </c>
      <c r="C46"/>
      <c r="F46" s="29"/>
      <c r="G46" s="18"/>
      <c r="H46" s="261"/>
      <c r="I46"/>
    </row>
    <row r="47" spans="1:10" ht="27.6" customHeight="1">
      <c r="A47" s="10" t="s">
        <v>6404</v>
      </c>
      <c r="B47" s="8" t="str">
        <f>Language!A1476</f>
        <v xml:space="preserve">Does the lab perform any phenotypic tests for ESBL production? Including disks, gradient strips, or a screening well in an automated system. </v>
      </c>
      <c r="C47" s="173"/>
      <c r="F47" s="29">
        <f>C47</f>
        <v>0</v>
      </c>
      <c r="G47" s="18" t="str">
        <f>IF(F47="Yes",1,"'")</f>
        <v>'</v>
      </c>
      <c r="H47" s="422"/>
      <c r="I47"/>
    </row>
    <row r="48" spans="1:10">
      <c r="A48" s="10"/>
      <c r="B48" s="439" t="str">
        <f>Language!A1477</f>
        <v>If no, answer NA until Carbapenemase Testing Section</v>
      </c>
      <c r="C48"/>
      <c r="F48" s="29"/>
      <c r="G48" s="18"/>
      <c r="H48" s="261"/>
      <c r="I48"/>
    </row>
    <row r="49" spans="1:10" ht="27.6" customHeight="1">
      <c r="A49" s="10" t="s">
        <v>6405</v>
      </c>
      <c r="B49" s="8" t="str">
        <f>Language!A1478</f>
        <v>Does the phenotypic ESBL method include testing both cefotaxime (or ceftriaxone) AND ceftazidime alone and in combination with clavulanic acid?</v>
      </c>
      <c r="C49" s="27"/>
      <c r="F49" s="29">
        <f>C49</f>
        <v>0</v>
      </c>
      <c r="G49" s="18" t="str">
        <f>IF(F49="Yes",1,IF(F49="No",0,"'"))</f>
        <v>'</v>
      </c>
      <c r="H49" s="422"/>
      <c r="I49"/>
    </row>
    <row r="50" spans="1:10">
      <c r="A50" s="10" t="s">
        <v>6406</v>
      </c>
      <c r="B50" s="8" t="str">
        <f>Language!A1479</f>
        <v>Does the lab perform any genotypic tests for ESBL production? (e.g., PCR)</v>
      </c>
      <c r="C50" s="27"/>
      <c r="F50" s="29">
        <f>C50</f>
        <v>0</v>
      </c>
      <c r="G50" s="18" t="str">
        <f>IF(F50="Yes",1,"'")</f>
        <v>'</v>
      </c>
      <c r="H50" s="422"/>
      <c r="J50" s="204"/>
    </row>
    <row r="51" spans="1:10" ht="27.6" customHeight="1">
      <c r="A51" s="10" t="s">
        <v>6407</v>
      </c>
      <c r="B51" s="8" t="str">
        <f>Language!A1480</f>
        <v>Do records indicate that quality control for ESBL testing is done either on a weekly basis or each time the test is performed?</v>
      </c>
      <c r="C51" s="27"/>
      <c r="F51" s="29">
        <f>C51</f>
        <v>0</v>
      </c>
      <c r="G51" s="18" t="str">
        <f>IF(F51="Yes",1,IF(F51="No",0,"'"))</f>
        <v>'</v>
      </c>
      <c r="H51" s="422"/>
      <c r="J51" s="204"/>
    </row>
    <row r="52" spans="1:10" ht="41.55" customHeight="1">
      <c r="A52" s="10" t="s">
        <v>6408</v>
      </c>
      <c r="B52" s="8" t="str">
        <f>Language!A1481</f>
        <v>Do records indicate that lab uses both positive and negative control organisms to QC the ESBL test in use? (A commonly used ESBL-positive strain is Klebsiella pneumoniae ATCC 700603)</v>
      </c>
      <c r="C52" s="27"/>
      <c r="F52" s="29">
        <f>C52</f>
        <v>0</v>
      </c>
      <c r="G52" s="18" t="str">
        <f t="shared" ref="G52:G53" si="6">IF(F52="Yes",1,IF(F52="No",0,"'"))</f>
        <v>'</v>
      </c>
      <c r="H52" s="422"/>
      <c r="J52" s="204"/>
    </row>
    <row r="53" spans="1:10" ht="27.6" customHeight="1">
      <c r="A53" s="10" t="s">
        <v>6409</v>
      </c>
      <c r="B53" s="8" t="str">
        <f>Language!A1482</f>
        <v>When an ESBL-positive is confirmed, is infection control notified by the lab?</v>
      </c>
      <c r="C53" s="27"/>
      <c r="F53" s="29">
        <f>C53</f>
        <v>0</v>
      </c>
      <c r="G53" s="18" t="str">
        <f t="shared" si="6"/>
        <v>'</v>
      </c>
      <c r="H53" s="422"/>
    </row>
    <row r="54" spans="1:10" ht="16.2" thickBot="1">
      <c r="A54" s="10"/>
      <c r="C54"/>
      <c r="F54" s="29"/>
      <c r="G54" s="18"/>
      <c r="H54" s="261"/>
    </row>
    <row r="55" spans="1:10" ht="16.2" thickBot="1">
      <c r="A55" s="160"/>
      <c r="B55" s="34" t="str">
        <f>Language!A1483</f>
        <v>PHENOTYPIC CARBAPENEMASE TESTING</v>
      </c>
      <c r="C55" s="44" t="str">
        <f>IF(COUNTBLANK(C56:C72)=17,"???",IF(COUNT(G56:G72)=0,"NA",AVERAGE(G56:G72)))</f>
        <v>???</v>
      </c>
      <c r="E55" s="30"/>
      <c r="G55" s="30"/>
      <c r="H55" s="417"/>
    </row>
    <row r="56" spans="1:10" ht="69" customHeight="1">
      <c r="A56" s="10">
        <v>12.35</v>
      </c>
      <c r="B56" s="8" t="str">
        <f>Language!A1484</f>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C56" s="27"/>
      <c r="F56" s="29">
        <f>C56</f>
        <v>0</v>
      </c>
      <c r="G56" s="18" t="str">
        <f>IF(F56="Yes",1,IF(F56="No",0,"'"))</f>
        <v>'</v>
      </c>
      <c r="H56" s="422"/>
      <c r="I56" s="18" t="str">
        <f>IF(C56="No","Red Flag","'")</f>
        <v>'</v>
      </c>
    </row>
    <row r="57" spans="1:10">
      <c r="A57" s="10"/>
      <c r="B57" s="439" t="str">
        <f>Language!A1485</f>
        <v>Note: Select NA if the lab uses current breakpoints</v>
      </c>
      <c r="C57"/>
      <c r="H57" s="263"/>
    </row>
    <row r="58" spans="1:10" ht="55.2" customHeight="1">
      <c r="A58" s="10">
        <v>12.36</v>
      </c>
      <c r="B58" s="8" t="str">
        <f>Language!A1486</f>
        <v>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v>
      </c>
      <c r="C58" s="27"/>
      <c r="F58" s="29">
        <f>C58</f>
        <v>0</v>
      </c>
      <c r="G58" s="18" t="str">
        <f>IF(F58="Yes",1,IF(F58="No",0,"'"))</f>
        <v>'</v>
      </c>
      <c r="H58" s="422"/>
      <c r="J58" s="204"/>
    </row>
    <row r="59" spans="1:10">
      <c r="A59" s="10"/>
      <c r="B59" s="439" t="str">
        <f>Language!A1487</f>
        <v>Note: Select NA if the lab does NOT use current breakpoints</v>
      </c>
      <c r="C59"/>
      <c r="H59" s="263"/>
    </row>
    <row r="60" spans="1:10">
      <c r="A60" s="10"/>
      <c r="B60" s="8" t="str">
        <f>Language!A1488</f>
        <v>Does the lab perform any of the following phenotypic tests for carbapenemase production?</v>
      </c>
      <c r="C60"/>
      <c r="H60"/>
    </row>
    <row r="61" spans="1:10">
      <c r="A61" s="76" t="s">
        <v>6410</v>
      </c>
      <c r="B61" s="37" t="str">
        <f>Language!A1489</f>
        <v>Modified Hodge test</v>
      </c>
      <c r="C61" s="27"/>
      <c r="F61" s="29">
        <f t="shared" ref="F61:F69" si="7">C61</f>
        <v>0</v>
      </c>
      <c r="G61" s="18" t="str">
        <f>IF(F61="Yes",0,IF(F61="No",1,"'"))</f>
        <v>'</v>
      </c>
      <c r="H61" s="422"/>
      <c r="I61" s="18" t="str">
        <f>IF(C61="Yes","Red Flag","'")</f>
        <v>'</v>
      </c>
    </row>
    <row r="62" spans="1:10">
      <c r="A62" s="76" t="s">
        <v>6411</v>
      </c>
      <c r="B62" s="37" t="str">
        <f>Language!A1490</f>
        <v>Other disk method, e.g., combination disk test or double disk synergy</v>
      </c>
      <c r="C62" s="27"/>
      <c r="F62" s="29">
        <f t="shared" si="7"/>
        <v>0</v>
      </c>
      <c r="G62" s="18" t="str">
        <f>IF(F62="Yes",1,"'")</f>
        <v>'</v>
      </c>
      <c r="H62" s="422"/>
      <c r="J62" s="204"/>
    </row>
    <row r="63" spans="1:10">
      <c r="A63" s="76" t="s">
        <v>6412</v>
      </c>
      <c r="B63" s="37" t="str">
        <f>Language!A1491</f>
        <v>MIC Strip test, e.g., Etest KPC, MBL or Liofilchem MRP/MBO, ETP/EBO</v>
      </c>
      <c r="C63" s="27"/>
      <c r="F63" s="29">
        <f t="shared" si="7"/>
        <v>0</v>
      </c>
      <c r="G63" s="18" t="str">
        <f t="shared" ref="G63:G67" si="8">IF(F63="Yes",1,"'")</f>
        <v>'</v>
      </c>
      <c r="H63" s="422"/>
      <c r="J63" s="204"/>
    </row>
    <row r="64" spans="1:10">
      <c r="A64" s="76" t="s">
        <v>6413</v>
      </c>
      <c r="B64" s="37" t="str">
        <f>Language!A1492</f>
        <v>Biochemical (colorimetric) test, e.g., CarbaNP, BCT, or β CARBA</v>
      </c>
      <c r="C64" s="27"/>
      <c r="F64" s="29">
        <f t="shared" si="7"/>
        <v>0</v>
      </c>
      <c r="G64" s="18" t="str">
        <f t="shared" si="8"/>
        <v>'</v>
      </c>
      <c r="H64" s="422"/>
      <c r="J64" s="204"/>
    </row>
    <row r="65" spans="1:10">
      <c r="A65" s="76" t="s">
        <v>6414</v>
      </c>
      <c r="B65" s="37" t="str">
        <f>Language!A1493</f>
        <v>Chromogenic agar specific for carbapenemase producers</v>
      </c>
      <c r="C65" s="27"/>
      <c r="F65" s="29">
        <f t="shared" si="7"/>
        <v>0</v>
      </c>
      <c r="G65" s="18" t="str">
        <f t="shared" si="8"/>
        <v>'</v>
      </c>
      <c r="H65" s="422"/>
      <c r="J65" s="204"/>
    </row>
    <row r="66" spans="1:10">
      <c r="A66" s="76" t="s">
        <v>6415</v>
      </c>
      <c r="B66" s="37" t="str">
        <f>Language!A1494</f>
        <v>Modified carbapenem inactivation method (MCIM)</v>
      </c>
      <c r="C66" s="27"/>
      <c r="F66" s="29">
        <f t="shared" si="7"/>
        <v>0</v>
      </c>
      <c r="G66" s="18" t="str">
        <f t="shared" si="8"/>
        <v>'</v>
      </c>
      <c r="H66" s="422"/>
      <c r="J66" s="204"/>
    </row>
    <row r="67" spans="1:10" ht="27.6" customHeight="1">
      <c r="A67" s="76" t="s">
        <v>6416</v>
      </c>
      <c r="B67" s="8" t="str">
        <f>Language!A1495</f>
        <v>Does the lab perform any genotypic tests for carbapenemase production? (e.g., PCR, GeneXpert, etc.)</v>
      </c>
      <c r="C67" s="27"/>
      <c r="F67" s="29">
        <f t="shared" si="7"/>
        <v>0</v>
      </c>
      <c r="G67" s="18" t="str">
        <f t="shared" si="8"/>
        <v>'</v>
      </c>
      <c r="H67" s="422"/>
      <c r="J67" s="204"/>
    </row>
    <row r="68" spans="1:10" ht="27.6" customHeight="1">
      <c r="A68" s="76" t="s">
        <v>6417</v>
      </c>
      <c r="B68" s="8" t="str">
        <f>Language!A1496</f>
        <v xml:space="preserve">Do records indicate that quality control is done each time carbapenemase testing is performed? </v>
      </c>
      <c r="C68" s="27"/>
      <c r="F68" s="29">
        <f t="shared" si="7"/>
        <v>0</v>
      </c>
      <c r="G68" s="18" t="str">
        <f>IF(F68="Yes",1,IF(F68="No",0,"'"))</f>
        <v>'</v>
      </c>
      <c r="H68" s="422"/>
      <c r="J68" s="204"/>
    </row>
    <row r="69" spans="1:10" ht="27.6" customHeight="1">
      <c r="A69" s="76" t="s">
        <v>6418</v>
      </c>
      <c r="B69" s="8" t="str">
        <f>Language!A1497</f>
        <v xml:space="preserve">Do records indicate that lab uses both positive and negative control organisms to QC the carbapenemase test in use? </v>
      </c>
      <c r="C69" s="27"/>
      <c r="F69" s="29">
        <f t="shared" si="7"/>
        <v>0</v>
      </c>
      <c r="G69" s="18" t="str">
        <f>IF(F69="Yes",1,IF(F69="No",0,"'"))</f>
        <v>'</v>
      </c>
      <c r="H69" s="422"/>
      <c r="J69" s="204"/>
    </row>
    <row r="70" spans="1:10" ht="27.6" customHeight="1">
      <c r="A70" s="10"/>
      <c r="B70" s="439" t="str">
        <f>Language!A1498</f>
        <v>Commonly used carbapenemase positive strains include K. pneumoniae ATCC BAA-1705, K. pneumoniae CCUG 56233, and K. pneumoniae NCTC 13438</v>
      </c>
      <c r="C70"/>
      <c r="F70" s="29"/>
      <c r="G70" s="18"/>
      <c r="H70" s="261"/>
    </row>
    <row r="71" spans="1:10">
      <c r="A71" s="10">
        <v>12.46</v>
      </c>
      <c r="B71" s="8" t="str">
        <f>Language!A1499</f>
        <v>When a carbapenemase producer is detected, is it noted on the final report to the clinician?</v>
      </c>
      <c r="C71" s="27"/>
      <c r="F71" s="29">
        <f>C71</f>
        <v>0</v>
      </c>
      <c r="G71" s="18" t="str">
        <f>IF(F71="Yes",1,IF(F71="No",0,"'"))</f>
        <v>'</v>
      </c>
      <c r="H71" s="422"/>
    </row>
    <row r="72" spans="1:10" ht="27.6" customHeight="1">
      <c r="A72" s="10">
        <v>12.47</v>
      </c>
      <c r="B72" s="8" t="str">
        <f>Language!A1500</f>
        <v>When a carbapenemase producer is detected, is infection control notified by the lab?</v>
      </c>
      <c r="C72" s="27"/>
      <c r="F72" s="29">
        <f>C72</f>
        <v>0</v>
      </c>
      <c r="G72" s="18" t="str">
        <f>IF(F72="Yes",1,IF(F72="No",0,"'"))</f>
        <v>'</v>
      </c>
      <c r="H72" s="422"/>
    </row>
    <row r="73" spans="1:10" ht="16.2" thickBot="1">
      <c r="A73" s="10"/>
      <c r="B73" s="22"/>
      <c r="C73"/>
      <c r="F73"/>
      <c r="H73" s="261"/>
    </row>
    <row r="74" spans="1:10" ht="16.2" thickBot="1">
      <c r="A74" s="160"/>
      <c r="B74" s="34" t="str">
        <f>Language!A1501</f>
        <v>COLISTIN TESTING</v>
      </c>
      <c r="C74" s="44" t="str">
        <f>IF(C75="No","NA",IF(COUNTBLANK(C77:C96)=20,"???",IF(COUNT(G77:G96)=0,"NA",AVERAGE(G77:G96))))</f>
        <v>???</v>
      </c>
      <c r="E74" s="30"/>
      <c r="G74" s="30"/>
      <c r="H74" s="417"/>
    </row>
    <row r="75" spans="1:10">
      <c r="A75" s="10"/>
      <c r="B75" s="8" t="str">
        <f>Language!B1502</f>
        <v>Does the lab perform colistin AST? (Not scored. If No, skip to next section.)</v>
      </c>
      <c r="C75" s="27"/>
      <c r="F75" s="29">
        <f>C75</f>
        <v>0</v>
      </c>
      <c r="G75" s="18"/>
      <c r="H75" s="422"/>
    </row>
    <row r="76" spans="1:10">
      <c r="A76" s="10"/>
      <c r="B76" s="8" t="str">
        <f>Language!A1503</f>
        <v>Which methods does the lab use for colistin AST? (Check all that apply)</v>
      </c>
      <c r="C76"/>
      <c r="F76" s="29"/>
      <c r="G76" s="18"/>
      <c r="H76" s="260"/>
    </row>
    <row r="77" spans="1:10">
      <c r="A77" s="118" t="s">
        <v>6419</v>
      </c>
      <c r="B77" s="37" t="str">
        <f>Language!A1504</f>
        <v>Disk diffusion</v>
      </c>
      <c r="C77" s="27"/>
      <c r="F77" s="29">
        <f t="shared" ref="F77:F85" si="9">C77</f>
        <v>0</v>
      </c>
      <c r="G77" s="18" t="str">
        <f>IF(F77="Yes",0,IF(F77="No",1,"'"))</f>
        <v>'</v>
      </c>
      <c r="H77" s="422"/>
      <c r="I77" s="18" t="str">
        <f>IF(C77="Yes","Red Flag","'")</f>
        <v>'</v>
      </c>
    </row>
    <row r="78" spans="1:10">
      <c r="A78" s="118" t="s">
        <v>6420</v>
      </c>
      <c r="B78" s="37" t="str">
        <f>Language!A1505</f>
        <v>Gradient strip (e.g., Etest/Liofilchem)</v>
      </c>
      <c r="C78" s="27"/>
      <c r="F78" s="29">
        <f t="shared" si="9"/>
        <v>0</v>
      </c>
      <c r="G78" s="18" t="str">
        <f t="shared" ref="G78:G80" si="10">IF(F78="Yes",0,IF(F78="No",1,"'"))</f>
        <v>'</v>
      </c>
      <c r="H78" s="422"/>
      <c r="I78" s="18" t="str">
        <f>IF(C78="Yes","Red Flag","'")</f>
        <v>'</v>
      </c>
    </row>
    <row r="79" spans="1:10">
      <c r="A79" s="118" t="s">
        <v>6421</v>
      </c>
      <c r="B79" s="37" t="str">
        <f>Language!A1506</f>
        <v>Automated instrument (e.g., Vitek/Phoenix)</v>
      </c>
      <c r="C79" s="27"/>
      <c r="F79" s="29">
        <f t="shared" si="9"/>
        <v>0</v>
      </c>
      <c r="G79" s="18" t="str">
        <f t="shared" si="10"/>
        <v>'</v>
      </c>
      <c r="H79" s="422"/>
      <c r="I79" s="18" t="str">
        <f>IF(C79="Yes","Red Flag","'")</f>
        <v>'</v>
      </c>
    </row>
    <row r="80" spans="1:10">
      <c r="A80" s="118" t="s">
        <v>6422</v>
      </c>
      <c r="B80" s="37" t="str">
        <f>Language!A1507</f>
        <v>Broth microdilution (BMD) with Polysorbate 80</v>
      </c>
      <c r="C80" s="27"/>
      <c r="F80" s="29">
        <f t="shared" si="9"/>
        <v>0</v>
      </c>
      <c r="G80" s="18" t="str">
        <f t="shared" si="10"/>
        <v>'</v>
      </c>
      <c r="H80" s="422"/>
      <c r="I80" s="18" t="str">
        <f>IF(C80="Yes","Red Flag","'")</f>
        <v>'</v>
      </c>
    </row>
    <row r="81" spans="1:10">
      <c r="A81" s="118" t="s">
        <v>6423</v>
      </c>
      <c r="B81" s="37" t="str">
        <f>Language!A1508</f>
        <v>Broth microdilution (BMD) without Polysorbate 80</v>
      </c>
      <c r="C81" s="27"/>
      <c r="F81" s="29">
        <f t="shared" si="9"/>
        <v>0</v>
      </c>
      <c r="G81" s="18" t="str">
        <f>IF(F81="Yes",1,"'")</f>
        <v>'</v>
      </c>
      <c r="H81" s="422"/>
      <c r="I81" s="204"/>
      <c r="J81" s="204"/>
    </row>
    <row r="82" spans="1:10">
      <c r="A82" s="118" t="s">
        <v>6424</v>
      </c>
      <c r="B82" s="37" t="str">
        <f>Language!A1509</f>
        <v>Colistin Broth Disk Elution (CBDE) Test</v>
      </c>
      <c r="C82" s="27"/>
      <c r="F82" s="29">
        <f t="shared" si="9"/>
        <v>0</v>
      </c>
      <c r="G82" s="18" t="str">
        <f>IF(F82="Yes",1,"'")</f>
        <v>'</v>
      </c>
      <c r="H82" s="422"/>
      <c r="I82" s="204"/>
      <c r="J82" s="204"/>
    </row>
    <row r="83" spans="1:10">
      <c r="A83" s="118" t="s">
        <v>6425</v>
      </c>
      <c r="B83" s="37" t="str">
        <f>Language!A1510</f>
        <v>Agar dilution (Colistin Agar Test)</v>
      </c>
      <c r="C83" s="27"/>
      <c r="E83" s="39"/>
      <c r="F83" s="29">
        <f t="shared" si="9"/>
        <v>0</v>
      </c>
      <c r="G83" s="18" t="str">
        <f>IF(F83="Yes",1,"'")</f>
        <v>'</v>
      </c>
      <c r="H83" s="422"/>
      <c r="I83" s="204"/>
    </row>
    <row r="84" spans="1:10" ht="27.6" customHeight="1">
      <c r="A84" s="118" t="s">
        <v>6426</v>
      </c>
      <c r="B84" s="8" t="str">
        <f>Language!A1511</f>
        <v>Do records indicate that quality control for colistin AST is performed on either a weekly basis or each time the test is performed?</v>
      </c>
      <c r="C84" s="27"/>
      <c r="F84" s="29">
        <f t="shared" si="9"/>
        <v>0</v>
      </c>
      <c r="G84" s="18" t="str">
        <f>IF(F84="Yes",1,IF(F84="No",0,"'"))</f>
        <v>'</v>
      </c>
      <c r="H84" s="422"/>
      <c r="J84" s="204"/>
    </row>
    <row r="85" spans="1:10" ht="27.6" customHeight="1">
      <c r="A85" s="118" t="s">
        <v>6427</v>
      </c>
      <c r="B85" s="59" t="str">
        <f>Language!A1512</f>
        <v>Do records indicate that lab uses appropriate organisms to QC the colistin test in use? (P. aeruginosa 27853 AND E. coli NCTC 13846 or E. coli AR Bank #0349).</v>
      </c>
      <c r="C85" s="27"/>
      <c r="F85" s="29">
        <f t="shared" si="9"/>
        <v>0</v>
      </c>
      <c r="G85" s="18" t="str">
        <f t="shared" ref="G85:G96" si="11">IF(F85="Yes",1,IF(F85="No",0,"'"))</f>
        <v>'</v>
      </c>
      <c r="H85" s="422"/>
      <c r="J85" s="204"/>
    </row>
    <row r="86" spans="1:10">
      <c r="A86" s="10"/>
      <c r="B86" s="8" t="str">
        <f>Language!A1513</f>
        <v>When colistin resistance is detected, are any of the following notified?</v>
      </c>
      <c r="C86"/>
      <c r="F86" s="29"/>
      <c r="H86" s="260"/>
      <c r="I86"/>
    </row>
    <row r="87" spans="1:10">
      <c r="A87" s="76" t="s">
        <v>6428</v>
      </c>
      <c r="B87" s="37" t="str">
        <f>Language!A1514</f>
        <v>Lab supervisor</v>
      </c>
      <c r="C87" s="27"/>
      <c r="F87" s="29">
        <f>C87</f>
        <v>0</v>
      </c>
      <c r="G87" s="18" t="str">
        <f t="shared" si="11"/>
        <v>'</v>
      </c>
      <c r="H87" s="422"/>
      <c r="I87"/>
    </row>
    <row r="88" spans="1:10">
      <c r="A88" s="76" t="s">
        <v>6429</v>
      </c>
      <c r="B88" s="37" t="str">
        <f>Language!A1515</f>
        <v>Infectious Disease team</v>
      </c>
      <c r="C88" s="27"/>
      <c r="F88" s="29">
        <f>C88</f>
        <v>0</v>
      </c>
      <c r="G88" s="18" t="str">
        <f t="shared" si="11"/>
        <v>'</v>
      </c>
      <c r="H88" s="422"/>
      <c r="I88"/>
    </row>
    <row r="89" spans="1:10">
      <c r="A89" s="76" t="s">
        <v>6430</v>
      </c>
      <c r="B89" s="37" t="str">
        <f>Language!A1516</f>
        <v>Infection Control team</v>
      </c>
      <c r="C89" s="27"/>
      <c r="F89" s="29">
        <f>C89</f>
        <v>0</v>
      </c>
      <c r="G89" s="18" t="str">
        <f t="shared" si="11"/>
        <v>'</v>
      </c>
      <c r="H89" s="422"/>
      <c r="I89"/>
    </row>
    <row r="90" spans="1:10" ht="27.6" customHeight="1">
      <c r="A90" s="76" t="s">
        <v>6431</v>
      </c>
      <c r="B90" s="59" t="str">
        <f>Language!A1517</f>
        <v>When colistin resistance is detected, is the isolate sent to a reference lab for molecular characterization (e.g., testing for mcr genes)?</v>
      </c>
      <c r="C90" s="27"/>
      <c r="F90" s="29">
        <f>C90</f>
        <v>0</v>
      </c>
      <c r="G90" s="18" t="str">
        <f t="shared" si="11"/>
        <v>'</v>
      </c>
      <c r="H90" s="422"/>
      <c r="J90" s="204"/>
    </row>
    <row r="91" spans="1:10" ht="27.6" customHeight="1">
      <c r="A91" s="76" t="s">
        <v>6432</v>
      </c>
      <c r="B91" s="8" t="str">
        <f>Language!A1518</f>
        <v xml:space="preserve">If the lab uses broth microdilution for colistin AST, is colistin sulfate used, not colistin methane sulfonate (sulfomethate)? </v>
      </c>
      <c r="C91" s="27"/>
      <c r="F91" s="29">
        <f>C91</f>
        <v>0</v>
      </c>
      <c r="G91" s="18" t="str">
        <f t="shared" si="11"/>
        <v>'</v>
      </c>
      <c r="H91" s="422"/>
      <c r="J91" s="204"/>
    </row>
    <row r="92" spans="1:10" ht="27.6" customHeight="1">
      <c r="A92" s="10"/>
      <c r="B92" s="439" t="str">
        <f>Language!A1519</f>
        <v>The methane sulfonate derivative of colistin ("cms") is an inactive pro-drug that breaks down slowly in solution and therefore cannot be used for AST.</v>
      </c>
      <c r="C92"/>
      <c r="F92" s="29"/>
      <c r="G92" s="1"/>
      <c r="H92" s="261"/>
    </row>
    <row r="93" spans="1:10" ht="27.6" customHeight="1">
      <c r="A93" s="76" t="s">
        <v>6433</v>
      </c>
      <c r="B93" s="8" t="str">
        <f>Language!A1520</f>
        <v>If the lab performs broth microdilution (BMD) for colistin AST, is cation-adjusted Mueller Hinton broth used?</v>
      </c>
      <c r="C93" s="27"/>
      <c r="F93" s="29">
        <f>C93</f>
        <v>0</v>
      </c>
      <c r="G93" s="18" t="str">
        <f t="shared" si="11"/>
        <v>'</v>
      </c>
      <c r="H93" s="422"/>
    </row>
    <row r="94" spans="1:10">
      <c r="A94" s="10"/>
      <c r="B94" s="439" t="str">
        <f>Language!A1521</f>
        <v>Answer NA if the lab does not perform BMD</v>
      </c>
      <c r="C94"/>
      <c r="F94" s="29"/>
      <c r="G94" s="18" t="str">
        <f t="shared" si="11"/>
        <v>'</v>
      </c>
      <c r="H94" s="260"/>
    </row>
    <row r="95" spans="1:10" ht="41.55" customHeight="1">
      <c r="A95" s="76" t="s">
        <v>6434</v>
      </c>
      <c r="B95" s="59" t="str">
        <f>Language!A1522</f>
        <v>Do laboratory staff understand the current limitations associated with colistin AST? (i.e., the risk of false susceptible results when using disk diffusion, gradient strip, or automated methods.)</v>
      </c>
      <c r="C95" s="27"/>
      <c r="F95" s="29">
        <f>C95</f>
        <v>0</v>
      </c>
      <c r="G95" s="18" t="str">
        <f t="shared" si="11"/>
        <v>'</v>
      </c>
      <c r="H95" s="422"/>
      <c r="I95" s="188" t="str">
        <f>IF(C95="No","Training Opportunity","'")</f>
        <v>'</v>
      </c>
    </row>
    <row r="96" spans="1:10" ht="27.6" customHeight="1">
      <c r="A96" s="76" t="s">
        <v>6435</v>
      </c>
      <c r="B96" s="8" t="str">
        <f>Language!A1523</f>
        <v>Has the lab educated the medical staff about the current limitations and risks associated with colistin AST?</v>
      </c>
      <c r="C96" s="27"/>
      <c r="F96" s="29">
        <f>C96</f>
        <v>0</v>
      </c>
      <c r="G96" s="18" t="str">
        <f t="shared" si="11"/>
        <v>'</v>
      </c>
      <c r="H96" s="422"/>
    </row>
    <row r="97" spans="1:10" ht="16.2" thickBot="1">
      <c r="A97" s="10"/>
      <c r="C97" s="8"/>
      <c r="F97" s="29"/>
      <c r="G97" s="18"/>
      <c r="H97" s="260"/>
    </row>
    <row r="98" spans="1:10" ht="16.2" thickBot="1">
      <c r="A98" s="160"/>
      <c r="B98" s="34" t="str">
        <f>Language!A1524</f>
        <v>EXPERT RULES FOR STAPHYLOCOCCUS AUREUS</v>
      </c>
      <c r="C98" s="44" t="str">
        <f>IF(COUNTBLANK(C99:C111)=13,"???",IF(COUNT(G99:G111)=0,"NA",AVERAGE(G99:G111)))</f>
        <v>???</v>
      </c>
      <c r="E98" s="30"/>
      <c r="G98" s="30"/>
      <c r="H98" s="417"/>
    </row>
    <row r="99" spans="1:10">
      <c r="A99" s="76" t="s">
        <v>6436</v>
      </c>
      <c r="B99" s="8" t="str">
        <f>Language!A1525</f>
        <v xml:space="preserve">Does the lab test S. aureus isolates against penicillin? </v>
      </c>
      <c r="C99" s="173"/>
      <c r="F99" s="29">
        <f>C99</f>
        <v>0</v>
      </c>
      <c r="G99" s="18"/>
      <c r="H99" s="422"/>
      <c r="J99" s="204"/>
    </row>
    <row r="100" spans="1:10">
      <c r="A100" s="10"/>
      <c r="B100" s="439" t="str">
        <f>Language!A1526</f>
        <v>If no, answer NA to next question</v>
      </c>
      <c r="C100"/>
      <c r="F100" s="29"/>
      <c r="G100" s="18"/>
      <c r="H100" s="260"/>
    </row>
    <row r="101" spans="1:10" ht="41.55" customHeight="1">
      <c r="A101" s="76" t="s">
        <v>6437</v>
      </c>
      <c r="B101" s="8" t="str">
        <f>Language!A1527</f>
        <v>Are S. aureus isolates with penicillin zones sizes or MICs in the susceptible range tested for β-lactamase production using the zone-edge test before being reported as penicillin susceptible?</v>
      </c>
      <c r="C101" s="27"/>
      <c r="F101" s="29">
        <f>C101</f>
        <v>0</v>
      </c>
      <c r="G101" s="18" t="str">
        <f>IF(F101="Yes",1,IF(F101="No",0,"'"))</f>
        <v>'</v>
      </c>
      <c r="H101" s="422"/>
      <c r="J101" s="204"/>
    </row>
    <row r="102" spans="1:10">
      <c r="A102" s="76" t="s">
        <v>6438</v>
      </c>
      <c r="B102" s="8" t="str">
        <f>Language!A1528</f>
        <v>Does the lab use Oxacillin disks to test for MRSA?</v>
      </c>
      <c r="C102" s="27"/>
      <c r="F102" s="29">
        <f>C102</f>
        <v>0</v>
      </c>
      <c r="G102" s="18" t="str">
        <f>IF(F102="No",1,IF(F102="Yes",0,"'"))</f>
        <v>'</v>
      </c>
      <c r="H102" s="422"/>
      <c r="I102" s="18" t="str">
        <f>IF(C102="Yes","Red Flag","'")</f>
        <v>'</v>
      </c>
    </row>
    <row r="103" spans="1:10" ht="27.6" customHeight="1">
      <c r="A103" s="76" t="s">
        <v>6439</v>
      </c>
      <c r="B103" s="8" t="str">
        <f>Language!A1529</f>
        <v xml:space="preserve">When oxacillin and cefoxitin results are discrepant for S. aureus (one is S and one is R), how does the lab report oxacillin? </v>
      </c>
      <c r="C103" s="27"/>
      <c r="F103" s="29">
        <f>C103</f>
        <v>0</v>
      </c>
      <c r="G103" s="18" t="str">
        <f>IF(F103=3,1,IF(F103=2,0.5,IF(F103=1,0,"'")))</f>
        <v>'</v>
      </c>
      <c r="H103" s="422"/>
      <c r="I103" s="177" t="str">
        <f>IF(C103=1,"Red Flag","'")</f>
        <v>'</v>
      </c>
    </row>
    <row r="104" spans="1:10" ht="55.2" customHeight="1">
      <c r="A104" s="10"/>
      <c r="B104" s="439" t="str">
        <f>Language!A1530</f>
        <v>1: Report the oxacillin interpretation, regardless of what the cefoxitin result is - 2: Report the cefoxitin interpretation, regardless of what the oxacillin result is - 3: If either drug tests R, report the result as R - NA: the lab only tests one of these drugs, not both</v>
      </c>
      <c r="C104"/>
      <c r="F104" s="29"/>
      <c r="G104" s="18"/>
      <c r="H104" s="260"/>
    </row>
    <row r="105" spans="1:10" ht="27.6" customHeight="1">
      <c r="A105" s="76" t="s">
        <v>6440</v>
      </c>
      <c r="B105" s="8" t="str">
        <f>Language!A1531</f>
        <v>Does the lab perform S. aureus AST on any beta-lactam antibiotics other than penicillin, oxacillin, cefoxitin, or ceftaroline?</v>
      </c>
      <c r="C105" s="27"/>
      <c r="F105" s="29">
        <f>C105</f>
        <v>0</v>
      </c>
      <c r="G105" s="18" t="str">
        <f>IF(F105="No",1,IF(F105="Yes",0,"'"))</f>
        <v>'</v>
      </c>
      <c r="H105" s="422"/>
      <c r="I105" s="18" t="str">
        <f>IF(C105="Yes","Red Flag","'")</f>
        <v>'</v>
      </c>
    </row>
    <row r="106" spans="1:10" ht="27.6" customHeight="1">
      <c r="A106" s="76" t="s">
        <v>6441</v>
      </c>
      <c r="B106" s="8" t="str">
        <f>Language!A1532</f>
        <v>Does the lab use vancomycin disks to test for VISA/VRSA?</v>
      </c>
      <c r="C106" s="27"/>
      <c r="F106" s="29">
        <f>C106</f>
        <v>0</v>
      </c>
      <c r="G106" s="18" t="str">
        <f>IF(F106="No",1,IF(F106="Yes",0,"'"))</f>
        <v>'</v>
      </c>
      <c r="H106" s="422"/>
      <c r="I106" s="18" t="str">
        <f>IF(C106="Yes","Red Flag","'")</f>
        <v>'</v>
      </c>
    </row>
    <row r="107" spans="1:10" ht="27.6" customHeight="1">
      <c r="A107" s="76" t="s">
        <v>6442</v>
      </c>
      <c r="B107" s="20" t="str">
        <f>Language!A1533</f>
        <v>When a manual MIC method is used to test vancomycin against Staph aureus, is the test incubated for a full 24 hours before reading the result?</v>
      </c>
      <c r="C107" s="27"/>
      <c r="F107" s="29">
        <f>C107</f>
        <v>0</v>
      </c>
      <c r="G107" s="18" t="str">
        <f>IF(F107="Yes",1,IF(F107="No",0,"'"))</f>
        <v>'</v>
      </c>
      <c r="H107" s="422"/>
    </row>
    <row r="108" spans="1:10">
      <c r="A108" s="10"/>
      <c r="B108" s="439" t="str">
        <f>Language!A1534</f>
        <v>Answer NA if manual MIC method not used</v>
      </c>
      <c r="C108" s="2"/>
      <c r="D108" s="2"/>
      <c r="E108" s="2"/>
      <c r="F108" s="2"/>
      <c r="G108" s="2"/>
      <c r="H108" s="263"/>
      <c r="I108" s="181"/>
    </row>
    <row r="109" spans="1:10" ht="27.6" customHeight="1">
      <c r="A109" s="76" t="s">
        <v>6443</v>
      </c>
      <c r="B109" s="20" t="str">
        <f>Language!A1535</f>
        <v>When a vancomycin MIC &gt;8 is detected for S. aureus, is the isolate sent to a referral lab for confirmation testing and further characterization?</v>
      </c>
      <c r="C109" s="27"/>
      <c r="F109" s="29">
        <f>C109</f>
        <v>0</v>
      </c>
      <c r="G109" s="18" t="str">
        <f>IF(F109="Yes",1,IF(F109="No",0,"'"))</f>
        <v>'</v>
      </c>
      <c r="H109" s="422"/>
      <c r="J109" s="204"/>
    </row>
    <row r="110" spans="1:10">
      <c r="A110" s="10"/>
      <c r="B110" s="439" t="str">
        <f>Language!A1536</f>
        <v xml:space="preserve">Answer NA if vancomycin not tested </v>
      </c>
      <c r="C110" s="2"/>
      <c r="D110" s="2"/>
      <c r="E110" s="2"/>
      <c r="F110" s="2"/>
      <c r="G110" s="2"/>
      <c r="H110" s="263"/>
      <c r="I110" s="181"/>
    </row>
    <row r="111" spans="1:10" ht="27.6" customHeight="1">
      <c r="A111" s="76" t="s">
        <v>6444</v>
      </c>
      <c r="B111" s="20" t="str">
        <f>Language!A1537</f>
        <v>Are S. aureus that are resistant to Erythromycin and susceptible or intermediate to Clindamycin tested for inducible clindamycin resistance?</v>
      </c>
      <c r="C111" s="27"/>
      <c r="F111" s="29">
        <f>C111</f>
        <v>0</v>
      </c>
      <c r="G111" s="18" t="str">
        <f>IF(F111="Yes",1,IF(F111="No",0,"'"))</f>
        <v>'</v>
      </c>
      <c r="H111" s="422"/>
      <c r="I111" s="18" t="str">
        <f>IF(C111="No","Red Flag","'")</f>
        <v>'</v>
      </c>
    </row>
    <row r="112" spans="1:10" ht="16.2" thickBot="1">
      <c r="A112" s="10"/>
      <c r="C112" s="8"/>
      <c r="F112" s="29"/>
      <c r="G112" s="18"/>
      <c r="H112" s="260"/>
    </row>
    <row r="113" spans="1:10" ht="16.2" thickBot="1">
      <c r="A113" s="160"/>
      <c r="B113" s="34" t="str">
        <f>Language!A1538</f>
        <v>GENERAL CONSIDERATIONS FOR STREPTOCOCCUS PNEUMONIAE</v>
      </c>
      <c r="C113" s="44" t="str">
        <f>IF(COUNTBLANK(C116:C120)=5,"???",IF(COUNT(G116:G120)=0,"NA",AVERAGE(G116:G120)))</f>
        <v>???</v>
      </c>
      <c r="E113" s="30"/>
      <c r="G113" s="30"/>
      <c r="H113" s="417"/>
    </row>
    <row r="114" spans="1:10" ht="27.6" customHeight="1">
      <c r="A114" s="10"/>
      <c r="B114" s="48" t="str">
        <f>Language!A1539</f>
        <v>If lab does not perform disk or Etest for S. pneumoniae AST, select N/A for all answers</v>
      </c>
      <c r="C114" s="8"/>
      <c r="D114" s="8"/>
      <c r="F114" s="29"/>
      <c r="G114" s="18"/>
    </row>
    <row r="115" spans="1:10">
      <c r="A115" s="10"/>
      <c r="B115" s="8" t="str">
        <f>Language!A1540</f>
        <v>Observe a S. pneumoniae AST plate being read</v>
      </c>
      <c r="C115" s="8"/>
      <c r="F115" s="29"/>
      <c r="G115" s="18"/>
    </row>
    <row r="116" spans="1:10">
      <c r="A116" s="76" t="s">
        <v>6445</v>
      </c>
      <c r="B116" s="37" t="str">
        <f>Language!A1541</f>
        <v>Is the upper surface of the agar read with the cover removed?</v>
      </c>
      <c r="C116" s="27"/>
      <c r="F116" s="29">
        <f>C116</f>
        <v>0</v>
      </c>
      <c r="G116" s="18" t="str">
        <f>IF(F116="Yes",1,IF(F116="No",0,"'"))</f>
        <v>'</v>
      </c>
      <c r="H116" s="422"/>
    </row>
    <row r="117" spans="1:10">
      <c r="A117" s="76" t="s">
        <v>6446</v>
      </c>
      <c r="B117" s="37" t="str">
        <f>Language!A1542</f>
        <v>Is the plate illuminated adequately with reflected light?</v>
      </c>
      <c r="C117" s="27"/>
      <c r="F117" s="29">
        <f>C117</f>
        <v>0</v>
      </c>
      <c r="G117" s="18" t="str">
        <f t="shared" ref="G117:G119" si="12">IF(F117="Yes",1,IF(F117="No",0,"'"))</f>
        <v>'</v>
      </c>
      <c r="H117" s="422"/>
    </row>
    <row r="118" spans="1:10">
      <c r="A118" s="76" t="s">
        <v>6447</v>
      </c>
      <c r="B118" s="37" t="str">
        <f>Language!A1543</f>
        <v>Are zones measured where growth is inhibited (as opposed to the zone of hemolysis)?</v>
      </c>
      <c r="C118" s="27"/>
      <c r="F118" s="29">
        <f>C118</f>
        <v>0</v>
      </c>
      <c r="G118" s="18" t="str">
        <f t="shared" si="12"/>
        <v>'</v>
      </c>
      <c r="H118" s="422"/>
    </row>
    <row r="119" spans="1:10">
      <c r="A119" s="76" t="s">
        <v>6448</v>
      </c>
      <c r="B119" s="37" t="str">
        <f>Language!A1544</f>
        <v>Are there no more than 4 disks per 100mm plate or 9 disks per 150mm plate?</v>
      </c>
      <c r="C119" s="27"/>
      <c r="F119" s="29">
        <f>C119</f>
        <v>0</v>
      </c>
      <c r="G119" s="18" t="str">
        <f t="shared" si="12"/>
        <v>'</v>
      </c>
      <c r="H119" s="422"/>
    </row>
    <row r="120" spans="1:10" ht="41.55" customHeight="1">
      <c r="A120" s="76" t="s">
        <v>6449</v>
      </c>
      <c r="B120" s="8" t="str">
        <f>Language!A1545</f>
        <v>If the lab uses an oxacillin disk (1ug) to screen for penicillin resistance in Strep. pneumoniae, what does the lab’s SOP instruct when the zone size measures &lt;19? (Referring to penicillin G or Benzylpenicillin, the IV formulation)</v>
      </c>
      <c r="C120" s="27"/>
      <c r="F120" s="29">
        <f>C120</f>
        <v>0</v>
      </c>
      <c r="G120" s="18" t="str">
        <f>IF(F120=2,1,IF(F120=1,0,"'"))</f>
        <v>'</v>
      </c>
      <c r="H120" s="422"/>
    </row>
    <row r="121" spans="1:10" ht="27.6" customHeight="1">
      <c r="A121" s="10"/>
      <c r="B121" s="439" t="str">
        <f>Language!A1546</f>
        <v>1: Report penicillin resistant - 2: Perform additional testing using a penicillin MIC method - NA: lab does not perform oxacillin screen</v>
      </c>
      <c r="C121" s="8"/>
      <c r="F121" s="29"/>
      <c r="G121" s="18"/>
      <c r="H121" s="260"/>
    </row>
    <row r="122" spans="1:10">
      <c r="A122" s="160"/>
      <c r="B122" s="34" t="str">
        <f>Language!A1547</f>
        <v>EXPERT RULES FOR STREPTOCOCCUS PNEUMONIAE</v>
      </c>
      <c r="C122" s="44" t="str">
        <f>IF(C123="No","NA",IF(COUNTBLANK(C125:C140)=16,"???",IF(COUNT(G125:G140)=0,"NA",AVERAGE(G125:G140))))</f>
        <v>???</v>
      </c>
      <c r="F122" s="29"/>
      <c r="G122" s="18"/>
      <c r="H122" s="260"/>
    </row>
    <row r="123" spans="1:10">
      <c r="A123" s="10"/>
      <c r="B123" s="8" t="str">
        <f>Language!A1548</f>
        <v>Does the lab perform AST for S.pneumoniae? (Not scored. If No, skip to next section.)</v>
      </c>
      <c r="C123" s="108"/>
      <c r="F123" s="29">
        <f>C123</f>
        <v>0</v>
      </c>
      <c r="G123" s="18"/>
      <c r="H123" s="422"/>
      <c r="J123" s="204"/>
    </row>
    <row r="124" spans="1:10" ht="27.6" customHeight="1">
      <c r="A124" s="10"/>
      <c r="B124" s="8" t="str">
        <f>Language!A1549</f>
        <v>Does the lab use the disk diffusion method to test any of the following antibiotics against S.pneumo?</v>
      </c>
      <c r="C124" s="8"/>
      <c r="F124" s="29"/>
      <c r="G124" s="18"/>
      <c r="H124" s="260"/>
    </row>
    <row r="125" spans="1:10">
      <c r="A125" s="76" t="s">
        <v>6450</v>
      </c>
      <c r="B125" s="37" t="str">
        <f>Language!A1550</f>
        <v>Penicillin</v>
      </c>
      <c r="C125" s="27"/>
      <c r="F125" s="29">
        <f t="shared" ref="F125:F134" si="13">C125</f>
        <v>0</v>
      </c>
      <c r="G125" s="18" t="str">
        <f>IF(F125="No",1,IF(F125="Yes",0,"'"))</f>
        <v>'</v>
      </c>
      <c r="H125" s="422"/>
      <c r="I125" s="177" t="str">
        <f>IF(F125="Yes","Red Flag","'")</f>
        <v>'</v>
      </c>
    </row>
    <row r="126" spans="1:10">
      <c r="A126" s="76" t="s">
        <v>6451</v>
      </c>
      <c r="B126" s="37" t="str">
        <f>Language!A1551</f>
        <v>Amoxicillin</v>
      </c>
      <c r="C126" s="27"/>
      <c r="F126" s="29">
        <f t="shared" si="13"/>
        <v>0</v>
      </c>
      <c r="G126" s="18" t="str">
        <f t="shared" ref="G126:G134" si="14">IF(F126="No",1,IF(F126="Yes",0,"'"))</f>
        <v>'</v>
      </c>
      <c r="H126" s="422"/>
      <c r="I126" s="177" t="str">
        <f t="shared" ref="I126:I134" si="15">IF(F126="Yes","Red Flag","'")</f>
        <v>'</v>
      </c>
    </row>
    <row r="127" spans="1:10">
      <c r="A127" s="76" t="s">
        <v>6452</v>
      </c>
      <c r="B127" s="37" t="str">
        <f>Language!A1552</f>
        <v>Ampicillin</v>
      </c>
      <c r="C127" s="27"/>
      <c r="F127" s="29">
        <f t="shared" si="13"/>
        <v>0</v>
      </c>
      <c r="G127" s="18" t="str">
        <f t="shared" si="14"/>
        <v>'</v>
      </c>
      <c r="H127" s="422"/>
      <c r="I127" s="177" t="str">
        <f t="shared" si="15"/>
        <v>'</v>
      </c>
    </row>
    <row r="128" spans="1:10">
      <c r="A128" s="76" t="s">
        <v>6453</v>
      </c>
      <c r="B128" s="37" t="str">
        <f>Language!A1553</f>
        <v>Cefotaxime</v>
      </c>
      <c r="C128" s="27"/>
      <c r="F128" s="29">
        <f t="shared" si="13"/>
        <v>0</v>
      </c>
      <c r="G128" s="18" t="str">
        <f t="shared" si="14"/>
        <v>'</v>
      </c>
      <c r="H128" s="422"/>
      <c r="I128" s="177" t="str">
        <f t="shared" si="15"/>
        <v>'</v>
      </c>
    </row>
    <row r="129" spans="1:10">
      <c r="A129" s="76" t="s">
        <v>6454</v>
      </c>
      <c r="B129" s="37" t="str">
        <f>Language!A1554</f>
        <v>Ceftriaxone</v>
      </c>
      <c r="C129" s="27"/>
      <c r="F129" s="29">
        <f t="shared" si="13"/>
        <v>0</v>
      </c>
      <c r="G129" s="18" t="str">
        <f t="shared" si="14"/>
        <v>'</v>
      </c>
      <c r="H129" s="422"/>
      <c r="I129" s="177" t="str">
        <f t="shared" si="15"/>
        <v>'</v>
      </c>
    </row>
    <row r="130" spans="1:10">
      <c r="A130" s="76" t="s">
        <v>6455</v>
      </c>
      <c r="B130" s="37" t="str">
        <f>Language!A1555</f>
        <v>Cefuroxime</v>
      </c>
      <c r="C130" s="27"/>
      <c r="F130" s="29">
        <f t="shared" si="13"/>
        <v>0</v>
      </c>
      <c r="G130" s="18" t="str">
        <f t="shared" si="14"/>
        <v>'</v>
      </c>
      <c r="H130" s="422"/>
      <c r="I130" s="177" t="str">
        <f t="shared" si="15"/>
        <v>'</v>
      </c>
    </row>
    <row r="131" spans="1:10">
      <c r="A131" s="76" t="s">
        <v>6456</v>
      </c>
      <c r="B131" s="37" t="str">
        <f>Language!A1556</f>
        <v>Cefepime</v>
      </c>
      <c r="C131" s="27"/>
      <c r="F131" s="29">
        <f t="shared" si="13"/>
        <v>0</v>
      </c>
      <c r="G131" s="18" t="str">
        <f t="shared" si="14"/>
        <v>'</v>
      </c>
      <c r="H131" s="422"/>
      <c r="I131" s="177" t="str">
        <f t="shared" si="15"/>
        <v>'</v>
      </c>
    </row>
    <row r="132" spans="1:10">
      <c r="A132" s="76" t="s">
        <v>6457</v>
      </c>
      <c r="B132" s="37" t="str">
        <f>Language!A1557</f>
        <v>Ertapenem</v>
      </c>
      <c r="C132" s="27"/>
      <c r="F132" s="29">
        <f t="shared" si="13"/>
        <v>0</v>
      </c>
      <c r="G132" s="18" t="str">
        <f t="shared" si="14"/>
        <v>'</v>
      </c>
      <c r="H132" s="422"/>
      <c r="I132" s="177" t="str">
        <f t="shared" si="15"/>
        <v>'</v>
      </c>
    </row>
    <row r="133" spans="1:10">
      <c r="A133" s="76" t="s">
        <v>6458</v>
      </c>
      <c r="B133" s="37" t="str">
        <f>Language!A1558</f>
        <v>Meropenem</v>
      </c>
      <c r="C133" s="27"/>
      <c r="F133" s="29">
        <f t="shared" si="13"/>
        <v>0</v>
      </c>
      <c r="G133" s="18" t="str">
        <f t="shared" si="14"/>
        <v>'</v>
      </c>
      <c r="H133" s="422"/>
      <c r="I133" s="177" t="str">
        <f t="shared" si="15"/>
        <v>'</v>
      </c>
    </row>
    <row r="134" spans="1:10">
      <c r="A134" s="76" t="s">
        <v>6459</v>
      </c>
      <c r="B134" s="37" t="str">
        <f>Language!A1559</f>
        <v>Imipenem</v>
      </c>
      <c r="C134" s="27"/>
      <c r="F134" s="29">
        <f t="shared" si="13"/>
        <v>0</v>
      </c>
      <c r="G134" s="18" t="str">
        <f t="shared" si="14"/>
        <v>'</v>
      </c>
      <c r="H134" s="422"/>
      <c r="I134" s="177" t="str">
        <f t="shared" si="15"/>
        <v>'</v>
      </c>
    </row>
    <row r="135" spans="1:10" ht="27.6" customHeight="1">
      <c r="A135" s="10"/>
      <c r="B135" s="8" t="str">
        <f>Language!A1560</f>
        <v>When S. pneumoniae is isolated from blood or cerebrospinal fluid, does the lab test the following antibiotics using an MIC method?</v>
      </c>
    </row>
    <row r="136" spans="1:10">
      <c r="A136" s="76" t="s">
        <v>6460</v>
      </c>
      <c r="B136" s="37" t="str">
        <f>Language!A1561</f>
        <v>Penicillin</v>
      </c>
      <c r="C136" s="27"/>
      <c r="F136" s="29">
        <f>C136</f>
        <v>0</v>
      </c>
      <c r="G136" s="18" t="str">
        <f>IF(F136="Yes",1,IF(F136="No",0,"'"))</f>
        <v>'</v>
      </c>
      <c r="H136" s="560"/>
      <c r="J136" s="204"/>
    </row>
    <row r="137" spans="1:10">
      <c r="A137" s="76" t="s">
        <v>6461</v>
      </c>
      <c r="B137" s="37" t="str">
        <f>Language!A1562</f>
        <v>Ceftriaxone and/or Cefotaxime</v>
      </c>
      <c r="C137" s="27"/>
      <c r="F137" s="29">
        <f>C137</f>
        <v>0</v>
      </c>
      <c r="G137" s="18" t="str">
        <f t="shared" ref="G137:G140" si="16">IF(F137="Yes",1,IF(F137="No",0,"'"))</f>
        <v>'</v>
      </c>
      <c r="H137" s="560"/>
      <c r="J137" s="204"/>
    </row>
    <row r="138" spans="1:10" ht="27.6" customHeight="1">
      <c r="A138" s="76" t="s">
        <v>6462</v>
      </c>
      <c r="B138" s="8" t="str">
        <f>Language!A1563</f>
        <v xml:space="preserve">When S. pneumoniae is isolated from CSF, are penicillin, ceftriaxone, and/or cefotaxime reported using the meningitis breakpoints only? </v>
      </c>
      <c r="C138" s="27"/>
      <c r="F138" s="29">
        <f>C138</f>
        <v>0</v>
      </c>
      <c r="G138" s="18" t="str">
        <f t="shared" si="16"/>
        <v>'</v>
      </c>
      <c r="H138" s="560"/>
      <c r="J138" s="204"/>
    </row>
    <row r="139" spans="1:10" ht="27.6" customHeight="1">
      <c r="A139" s="76" t="s">
        <v>6463</v>
      </c>
      <c r="B139" s="8" t="str">
        <f>Language!A1564</f>
        <v xml:space="preserve">When S. pneumoniae is isolated from specimens other than CSF, are penicillin, ceftriaxone, and/or cefotaxime reported using both meningitis and non-meningitis breakpoints? </v>
      </c>
      <c r="C139" s="27"/>
      <c r="F139" s="29">
        <f>C139</f>
        <v>0</v>
      </c>
      <c r="G139" s="18" t="str">
        <f t="shared" si="16"/>
        <v>'</v>
      </c>
      <c r="H139" s="560"/>
      <c r="J139" s="204"/>
    </row>
    <row r="140" spans="1:10" ht="27.6" customHeight="1">
      <c r="A140" s="76" t="s">
        <v>6464</v>
      </c>
      <c r="B140" s="8" t="str">
        <f>Language!A1565</f>
        <v>Are S. pneumoniae that are resistant to Erythromycin and susceptible or intermediate to Clindamycin tested for inducible clindamycin resistance?</v>
      </c>
      <c r="C140" s="27"/>
      <c r="F140" s="29">
        <f>C140</f>
        <v>0</v>
      </c>
      <c r="G140" s="18" t="str">
        <f t="shared" si="16"/>
        <v>'</v>
      </c>
      <c r="H140" s="560"/>
      <c r="I140" s="18" t="str">
        <f>IF(C140="No","Red Flag","'")</f>
        <v>'</v>
      </c>
    </row>
    <row r="141" spans="1:10" ht="16.2" thickBot="1">
      <c r="A141" s="10"/>
      <c r="C141" s="8"/>
      <c r="F141" s="29"/>
      <c r="G141" s="18"/>
      <c r="H141" s="260"/>
    </row>
    <row r="142" spans="1:10" ht="16.2" thickBot="1">
      <c r="A142" s="160"/>
      <c r="B142" s="34" t="str">
        <f>Language!A1566</f>
        <v>INDUCIBLE CLINDAMYCIN RESISTANCE TESTING</v>
      </c>
      <c r="C142" s="44" t="str">
        <f>IF(COUNTBLANK(C143:C148)=6,"???",IF(COUNT(G143:G148)=0,"NA",AVERAGE(G143:G148)))</f>
        <v>???</v>
      </c>
      <c r="E142" s="30"/>
      <c r="G142" s="30"/>
      <c r="H142" s="417"/>
    </row>
    <row r="143" spans="1:10" ht="27.6" customHeight="1">
      <c r="A143" s="76" t="s">
        <v>6465</v>
      </c>
      <c r="B143" s="58" t="str">
        <f>Language!A1567</f>
        <v xml:space="preserve">Does the lab perform the test for Inducible Clindamycin Resistance (ICR), also known as the “D-test” on Staphylococcus aureus and/or Streptococcus pneumoniae? </v>
      </c>
      <c r="C143" s="27"/>
      <c r="F143" s="29">
        <f t="shared" ref="F143:F148" si="17">C143</f>
        <v>0</v>
      </c>
      <c r="G143" s="18" t="str">
        <f>IF(F143="Yes",1,"'")</f>
        <v>'</v>
      </c>
      <c r="H143" s="561"/>
      <c r="J143" s="204"/>
    </row>
    <row r="144" spans="1:10" ht="27.6" customHeight="1">
      <c r="A144" s="76" t="s">
        <v>6466</v>
      </c>
      <c r="B144" s="20" t="str">
        <f>Language!A1568</f>
        <v>Does the SOP for the ICR test specify that the erythromycin and clindamycin disks must be placed 15-26 mm apart for Staphylococcus species?</v>
      </c>
      <c r="C144" s="27"/>
      <c r="F144" s="29">
        <f t="shared" si="17"/>
        <v>0</v>
      </c>
      <c r="G144" s="18" t="str">
        <f>IF(F144="Yes",1,IF(F144="No",0,"'"))</f>
        <v>'</v>
      </c>
      <c r="H144" s="422"/>
      <c r="J144" s="204"/>
    </row>
    <row r="145" spans="1:10" ht="27.6" customHeight="1">
      <c r="A145" s="76" t="s">
        <v>6467</v>
      </c>
      <c r="B145" s="20" t="str">
        <f>Language!A1569</f>
        <v>Does the SOP for the ICR test specify that the erythromycin and clindamycin disks must be placed 12 mm apart for Streptococcus species?</v>
      </c>
      <c r="C145" s="27"/>
      <c r="F145" s="29">
        <f t="shared" si="17"/>
        <v>0</v>
      </c>
      <c r="G145" s="18" t="str">
        <f t="shared" ref="G145:G148" si="18">IF(F145="Yes",1,IF(F145="No",0,"'"))</f>
        <v>'</v>
      </c>
      <c r="H145" s="422"/>
      <c r="J145" s="204"/>
    </row>
    <row r="146" spans="1:10" ht="27.6" customHeight="1">
      <c r="A146" s="76" t="s">
        <v>6468</v>
      </c>
      <c r="B146" s="20" t="str">
        <f>Language!A1570</f>
        <v>Do records indicate that quality control for ICR testing is done either on a weekly basis or each time the test is performed?</v>
      </c>
      <c r="C146" s="27"/>
      <c r="F146" s="29">
        <f t="shared" si="17"/>
        <v>0</v>
      </c>
      <c r="G146" s="18" t="str">
        <f t="shared" si="18"/>
        <v>'</v>
      </c>
      <c r="H146" s="422"/>
      <c r="J146" s="204"/>
    </row>
    <row r="147" spans="1:10" ht="27.6" customHeight="1">
      <c r="A147" s="76" t="s">
        <v>6469</v>
      </c>
      <c r="B147" s="20" t="str">
        <f>Language!A1571</f>
        <v>Do records indicate that lab uses both positive and negative control organisms to QC the ICR test in use? (Commonly used ICR positive strain is S. aureus ATCC BAA-977)</v>
      </c>
      <c r="C147" s="27"/>
      <c r="F147" s="29">
        <f t="shared" si="17"/>
        <v>0</v>
      </c>
      <c r="G147" s="18" t="str">
        <f t="shared" si="18"/>
        <v>'</v>
      </c>
      <c r="H147" s="422"/>
      <c r="J147" s="204"/>
    </row>
    <row r="148" spans="1:10">
      <c r="A148" s="76" t="s">
        <v>6470</v>
      </c>
      <c r="B148" s="20" t="str">
        <f>Language!A1572</f>
        <v xml:space="preserve">When the ICR test is positive, is the clindamycin result changed to resistant? </v>
      </c>
      <c r="C148" s="27"/>
      <c r="F148" s="29">
        <f t="shared" si="17"/>
        <v>0</v>
      </c>
      <c r="G148" s="18" t="str">
        <f t="shared" si="18"/>
        <v>'</v>
      </c>
      <c r="H148" s="422"/>
      <c r="I148" s="18" t="str">
        <f>IF(C148="No","Red Flag","'")</f>
        <v>'</v>
      </c>
    </row>
    <row r="149" spans="1:10" ht="16.2" thickBot="1">
      <c r="A149" s="179"/>
      <c r="B149" s="20"/>
      <c r="C149" s="55"/>
      <c r="D149" s="55"/>
      <c r="F149" s="29"/>
      <c r="G149" s="18"/>
      <c r="H149" s="260"/>
    </row>
    <row r="150" spans="1:10" ht="16.2" thickBot="1">
      <c r="A150" s="160"/>
      <c r="B150" s="34" t="str">
        <f>Language!A1573</f>
        <v>EXPERT RULES FOR CEREBROSPINAL FLUID (CSF)</v>
      </c>
      <c r="C150" s="44" t="str">
        <f>IF(COUNTBLANK(C153:C160)=8,"???",IF(COUNT(G153:G160)=0,"NA",AVERAGE(G153:G160)))</f>
        <v>???</v>
      </c>
      <c r="E150" s="30"/>
      <c r="G150" s="30"/>
      <c r="H150" s="417"/>
    </row>
    <row r="151" spans="1:10" ht="27.6" customHeight="1">
      <c r="A151" s="10"/>
      <c r="B151" s="8" t="str">
        <f>Language!A1574</f>
        <v xml:space="preserve">Review a patient AST report for a positive CSF culture. Were any of the following drug classes tested or reported? </v>
      </c>
      <c r="I151" s="182"/>
    </row>
    <row r="152" spans="1:10" ht="27.6" customHeight="1">
      <c r="A152" s="10"/>
      <c r="B152" s="464" t="str">
        <f>Language!A1575</f>
        <v>(The following are not the drugs of choice and may not be effective for treating CSF infections, regardless of the AST result)</v>
      </c>
      <c r="C152" s="60"/>
      <c r="I152" s="182"/>
    </row>
    <row r="153" spans="1:10">
      <c r="A153" s="76" t="s">
        <v>6471</v>
      </c>
      <c r="B153" s="37" t="str">
        <f>Language!A1576</f>
        <v>1st generation cephalosporins (cefazolin, cephalothin, cephapirin, cephadrine)</v>
      </c>
      <c r="C153" s="27"/>
      <c r="F153" s="29">
        <f t="shared" ref="F153:F160" si="19">C153</f>
        <v>0</v>
      </c>
      <c r="G153" s="18" t="str">
        <f>IF(F153="No",1,IF(F153="Yes",0,"'"))</f>
        <v>'</v>
      </c>
      <c r="H153" s="422"/>
      <c r="I153" s="18" t="str">
        <f t="shared" ref="I153:I160" si="20">IF(C153="Yes","Red Flag","'")</f>
        <v>'</v>
      </c>
    </row>
    <row r="154" spans="1:10">
      <c r="A154" s="76" t="s">
        <v>6472</v>
      </c>
      <c r="B154" s="37" t="str">
        <f>Language!A1577</f>
        <v>2nd generation cephalosporins (cefuroxime, cefonicid, cefamandole)</v>
      </c>
      <c r="C154" s="27"/>
      <c r="F154" s="29">
        <f t="shared" si="19"/>
        <v>0</v>
      </c>
      <c r="G154" s="18" t="str">
        <f t="shared" ref="G154:G160" si="21">IF(F154="No",1,IF(F154="Yes",0,"'"))</f>
        <v>'</v>
      </c>
      <c r="H154" s="422"/>
      <c r="I154" s="18" t="str">
        <f t="shared" si="20"/>
        <v>'</v>
      </c>
    </row>
    <row r="155" spans="1:10">
      <c r="A155" s="76" t="s">
        <v>6473</v>
      </c>
      <c r="B155" s="37" t="str">
        <f>Language!A1578</f>
        <v>Cephamycins (cefoxitin, cefotetan)</v>
      </c>
      <c r="C155" s="27"/>
      <c r="F155" s="29">
        <f t="shared" si="19"/>
        <v>0</v>
      </c>
      <c r="G155" s="18" t="str">
        <f t="shared" si="21"/>
        <v>'</v>
      </c>
      <c r="H155" s="422"/>
      <c r="I155" s="18" t="str">
        <f t="shared" si="20"/>
        <v>'</v>
      </c>
    </row>
    <row r="156" spans="1:10">
      <c r="A156" s="76" t="s">
        <v>6474</v>
      </c>
      <c r="B156" s="37" t="str">
        <f>Language!A1579</f>
        <v>Clindamycin</v>
      </c>
      <c r="C156" s="27"/>
      <c r="F156" s="29">
        <f t="shared" si="19"/>
        <v>0</v>
      </c>
      <c r="G156" s="18" t="str">
        <f t="shared" si="21"/>
        <v>'</v>
      </c>
      <c r="H156" s="422"/>
      <c r="I156" s="18" t="str">
        <f t="shared" si="20"/>
        <v>'</v>
      </c>
    </row>
    <row r="157" spans="1:10">
      <c r="A157" s="76" t="s">
        <v>6475</v>
      </c>
      <c r="B157" s="37" t="str">
        <f>Language!A1580</f>
        <v>Macrolides (Erythromycin, Azithromycin, Clarithromycin)</v>
      </c>
      <c r="C157" s="27"/>
      <c r="F157" s="29">
        <f t="shared" si="19"/>
        <v>0</v>
      </c>
      <c r="G157" s="18" t="str">
        <f t="shared" si="21"/>
        <v>'</v>
      </c>
      <c r="H157" s="422"/>
      <c r="I157" s="18" t="str">
        <f t="shared" si="20"/>
        <v>'</v>
      </c>
    </row>
    <row r="158" spans="1:10">
      <c r="A158" s="76" t="s">
        <v>6476</v>
      </c>
      <c r="B158" s="37" t="str">
        <f>Language!A1581</f>
        <v>Tetracyclines (Tetracycline, Minocycline, Doxycycline)</v>
      </c>
      <c r="C158" s="27"/>
      <c r="F158" s="29">
        <f t="shared" si="19"/>
        <v>0</v>
      </c>
      <c r="G158" s="18" t="str">
        <f t="shared" si="21"/>
        <v>'</v>
      </c>
      <c r="H158" s="422"/>
      <c r="I158" s="18" t="str">
        <f t="shared" si="20"/>
        <v>'</v>
      </c>
    </row>
    <row r="159" spans="1:10">
      <c r="A159" s="76" t="s">
        <v>6477</v>
      </c>
      <c r="B159" s="37" t="str">
        <f>Language!A1582</f>
        <v>Fluoroquinolones (Ciprofloxacin, Levofloxacin, Moxifloxacin)</v>
      </c>
      <c r="C159" s="27"/>
      <c r="F159" s="29">
        <f t="shared" si="19"/>
        <v>0</v>
      </c>
      <c r="G159" s="18" t="str">
        <f t="shared" si="21"/>
        <v>'</v>
      </c>
      <c r="H159" s="422"/>
      <c r="I159" s="18" t="str">
        <f t="shared" si="20"/>
        <v>'</v>
      </c>
    </row>
    <row r="160" spans="1:10">
      <c r="A160" s="76" t="s">
        <v>6478</v>
      </c>
      <c r="B160" s="37" t="str">
        <f>Language!A1583</f>
        <v>Nitrofurantoin</v>
      </c>
      <c r="C160" s="27"/>
      <c r="F160" s="29">
        <f t="shared" si="19"/>
        <v>0</v>
      </c>
      <c r="G160" s="18" t="str">
        <f t="shared" si="21"/>
        <v>'</v>
      </c>
      <c r="H160" s="422"/>
      <c r="I160" s="18" t="str">
        <f t="shared" si="20"/>
        <v>'</v>
      </c>
    </row>
  </sheetData>
  <sheetProtection algorithmName="SHA-256" hashValue="PWzuzPKkGIfF67dJdWgwr5/A9ZscO2oJPSCTeDUdGHs=" saltValue="D1sqNo7QYNFD5xTwy81mIQ==" spinCount="100000" sheet="1" selectLockedCells="1"/>
  <mergeCells count="4">
    <mergeCell ref="B15:H15"/>
    <mergeCell ref="B16:H16"/>
    <mergeCell ref="B17:H17"/>
    <mergeCell ref="B18:H18"/>
  </mergeCells>
  <phoneticPr fontId="45" type="noConversion"/>
  <conditionalFormatting sqref="C3">
    <cfRule type="cellIs" dxfId="403" priority="416" stopIfTrue="1" operator="lessThan">
      <formula>0.5</formula>
    </cfRule>
    <cfRule type="cellIs" dxfId="402" priority="415" stopIfTrue="1" operator="between">
      <formula>0.5</formula>
      <formula>0.799</formula>
    </cfRule>
    <cfRule type="cellIs" dxfId="401" priority="414" stopIfTrue="1" operator="greaterThanOrEqual">
      <formula>0.8</formula>
    </cfRule>
  </conditionalFormatting>
  <conditionalFormatting sqref="C13">
    <cfRule type="cellIs" dxfId="400" priority="91" stopIfTrue="1" operator="greaterThanOrEqual">
      <formula>0.8</formula>
    </cfRule>
    <cfRule type="cellIs" dxfId="399" priority="92" stopIfTrue="1" operator="between">
      <formula>0.5</formula>
      <formula>0.799</formula>
    </cfRule>
    <cfRule type="cellIs" dxfId="398" priority="93" stopIfTrue="1" operator="lessThan">
      <formula>0.5</formula>
    </cfRule>
  </conditionalFormatting>
  <conditionalFormatting sqref="C41">
    <cfRule type="cellIs" dxfId="397" priority="413" stopIfTrue="1" operator="lessThan">
      <formula>0.5</formula>
    </cfRule>
    <cfRule type="cellIs" dxfId="396" priority="412" stopIfTrue="1" operator="between">
      <formula>0.5</formula>
      <formula>0.799</formula>
    </cfRule>
    <cfRule type="cellIs" dxfId="395" priority="411" stopIfTrue="1" operator="greaterThanOrEqual">
      <formula>0.8</formula>
    </cfRule>
  </conditionalFormatting>
  <conditionalFormatting sqref="C55">
    <cfRule type="cellIs" dxfId="394" priority="329" stopIfTrue="1" operator="lessThan">
      <formula>0.5</formula>
    </cfRule>
    <cfRule type="cellIs" dxfId="393" priority="328" stopIfTrue="1" operator="between">
      <formula>0.5</formula>
      <formula>0.799</formula>
    </cfRule>
    <cfRule type="cellIs" dxfId="392" priority="327" stopIfTrue="1" operator="greaterThanOrEqual">
      <formula>0.8</formula>
    </cfRule>
  </conditionalFormatting>
  <conditionalFormatting sqref="C74">
    <cfRule type="cellIs" dxfId="391" priority="305" stopIfTrue="1" operator="lessThan">
      <formula>0.5</formula>
    </cfRule>
    <cfRule type="cellIs" dxfId="390" priority="304" stopIfTrue="1" operator="between">
      <formula>0.5</formula>
      <formula>0.799</formula>
    </cfRule>
    <cfRule type="cellIs" dxfId="389" priority="303" stopIfTrue="1" operator="greaterThanOrEqual">
      <formula>0.8</formula>
    </cfRule>
  </conditionalFormatting>
  <conditionalFormatting sqref="C98">
    <cfRule type="cellIs" dxfId="388" priority="259" stopIfTrue="1" operator="between">
      <formula>0.5</formula>
      <formula>0.799</formula>
    </cfRule>
    <cfRule type="cellIs" dxfId="387" priority="258" stopIfTrue="1" operator="greaterThanOrEqual">
      <formula>0.8</formula>
    </cfRule>
    <cfRule type="cellIs" dxfId="386" priority="260" stopIfTrue="1" operator="lessThan">
      <formula>0.5</formula>
    </cfRule>
  </conditionalFormatting>
  <conditionalFormatting sqref="C113">
    <cfRule type="cellIs" dxfId="385" priority="227" stopIfTrue="1" operator="lessThan">
      <formula>0.5</formula>
    </cfRule>
    <cfRule type="cellIs" dxfId="384" priority="226" stopIfTrue="1" operator="between">
      <formula>0.5</formula>
      <formula>0.799</formula>
    </cfRule>
    <cfRule type="cellIs" dxfId="383" priority="225" stopIfTrue="1" operator="greaterThanOrEqual">
      <formula>0.8</formula>
    </cfRule>
  </conditionalFormatting>
  <conditionalFormatting sqref="C122">
    <cfRule type="cellIs" dxfId="382" priority="84" stopIfTrue="1" operator="greaterThanOrEqual">
      <formula>0.8</formula>
    </cfRule>
    <cfRule type="cellIs" dxfId="381" priority="86" stopIfTrue="1" operator="lessThan">
      <formula>0.5</formula>
    </cfRule>
    <cfRule type="cellIs" dxfId="380" priority="85" stopIfTrue="1" operator="between">
      <formula>0.5</formula>
      <formula>0.799</formula>
    </cfRule>
  </conditionalFormatting>
  <conditionalFormatting sqref="C142">
    <cfRule type="cellIs" dxfId="379" priority="158" stopIfTrue="1" operator="lessThan">
      <formula>0.5</formula>
    </cfRule>
    <cfRule type="cellIs" dxfId="378" priority="157" stopIfTrue="1" operator="between">
      <formula>0.5</formula>
      <formula>0.799</formula>
    </cfRule>
    <cfRule type="cellIs" dxfId="377" priority="156" stopIfTrue="1" operator="greaterThanOrEqual">
      <formula>0.8</formula>
    </cfRule>
  </conditionalFormatting>
  <conditionalFormatting sqref="C150">
    <cfRule type="cellIs" dxfId="376" priority="52" stopIfTrue="1" operator="greaterThanOrEqual">
      <formula>0.8</formula>
    </cfRule>
    <cfRule type="cellIs" dxfId="375" priority="53" stopIfTrue="1" operator="between">
      <formula>0.5</formula>
      <formula>0.799</formula>
    </cfRule>
    <cfRule type="cellIs" dxfId="374" priority="54" stopIfTrue="1" operator="lessThan">
      <formula>0.5</formula>
    </cfRule>
  </conditionalFormatting>
  <conditionalFormatting sqref="G5:G13">
    <cfRule type="cellIs" dxfId="373" priority="349" stopIfTrue="1" operator="between">
      <formula>0.5</formula>
      <formula>0.75</formula>
    </cfRule>
    <cfRule type="cellIs" dxfId="372" priority="350" stopIfTrue="1" operator="greaterThan">
      <formula>0.75</formula>
    </cfRule>
    <cfRule type="cellIs" dxfId="371" priority="348" stopIfTrue="1" operator="lessThan">
      <formula>0.5</formula>
    </cfRule>
  </conditionalFormatting>
  <conditionalFormatting sqref="G21:G39">
    <cfRule type="cellIs" dxfId="370" priority="402" stopIfTrue="1" operator="lessThan">
      <formula>0.5</formula>
    </cfRule>
    <cfRule type="cellIs" dxfId="369" priority="403" stopIfTrue="1" operator="between">
      <formula>0.5</formula>
      <formula>0.75</formula>
    </cfRule>
    <cfRule type="cellIs" dxfId="368" priority="404" stopIfTrue="1" operator="greaterThan">
      <formula>0.75</formula>
    </cfRule>
  </conditionalFormatting>
  <conditionalFormatting sqref="G22">
    <cfRule type="cellIs" dxfId="367" priority="410" stopIfTrue="1" operator="greaterThan">
      <formula>0.75</formula>
    </cfRule>
    <cfRule type="cellIs" dxfId="366" priority="409" stopIfTrue="1" operator="between">
      <formula>0.5</formula>
      <formula>0.75</formula>
    </cfRule>
    <cfRule type="cellIs" dxfId="365" priority="408" stopIfTrue="1" operator="lessThan">
      <formula>0.5</formula>
    </cfRule>
  </conditionalFormatting>
  <conditionalFormatting sqref="G23:G27">
    <cfRule type="cellIs" dxfId="364" priority="387" stopIfTrue="1" operator="lessThan">
      <formula>0.5</formula>
    </cfRule>
    <cfRule type="cellIs" dxfId="363" priority="388" stopIfTrue="1" operator="between">
      <formula>0.5</formula>
      <formula>0.75</formula>
    </cfRule>
    <cfRule type="cellIs" dxfId="362" priority="389" stopIfTrue="1" operator="greaterThan">
      <formula>0.75</formula>
    </cfRule>
  </conditionalFormatting>
  <conditionalFormatting sqref="G28">
    <cfRule type="cellIs" dxfId="361" priority="405" stopIfTrue="1" operator="lessThan">
      <formula>0.5</formula>
    </cfRule>
    <cfRule type="cellIs" dxfId="360" priority="406" stopIfTrue="1" operator="between">
      <formula>0.5</formula>
      <formula>0.75</formula>
    </cfRule>
    <cfRule type="cellIs" dxfId="359" priority="407" stopIfTrue="1" operator="greaterThan">
      <formula>0.75</formula>
    </cfRule>
  </conditionalFormatting>
  <conditionalFormatting sqref="G29:G39">
    <cfRule type="cellIs" dxfId="358" priority="355" stopIfTrue="1" operator="between">
      <formula>0.5</formula>
      <formula>0.75</formula>
    </cfRule>
    <cfRule type="cellIs" dxfId="357" priority="356" stopIfTrue="1" operator="greaterThan">
      <formula>0.75</formula>
    </cfRule>
    <cfRule type="cellIs" dxfId="356" priority="354" stopIfTrue="1" operator="lessThan">
      <formula>0.5</formula>
    </cfRule>
  </conditionalFormatting>
  <conditionalFormatting sqref="G43:G48">
    <cfRule type="cellIs" dxfId="355" priority="351" stopIfTrue="1" operator="lessThan">
      <formula>0.5</formula>
    </cfRule>
    <cfRule type="cellIs" dxfId="354" priority="353" stopIfTrue="1" operator="greaterThan">
      <formula>0.75</formula>
    </cfRule>
    <cfRule type="cellIs" dxfId="353" priority="352" stopIfTrue="1" operator="between">
      <formula>0.5</formula>
      <formula>0.75</formula>
    </cfRule>
  </conditionalFormatting>
  <conditionalFormatting sqref="G44:G45">
    <cfRule type="cellIs" dxfId="352" priority="344" stopIfTrue="1" operator="greaterThan">
      <formula>0.75</formula>
    </cfRule>
    <cfRule type="cellIs" dxfId="351" priority="343" stopIfTrue="1" operator="between">
      <formula>0.5</formula>
      <formula>0.75</formula>
    </cfRule>
    <cfRule type="cellIs" dxfId="350" priority="342" stopIfTrue="1" operator="lessThan">
      <formula>0.5</formula>
    </cfRule>
  </conditionalFormatting>
  <conditionalFormatting sqref="G47">
    <cfRule type="cellIs" dxfId="349" priority="22" stopIfTrue="1" operator="lessThan">
      <formula>0.5</formula>
    </cfRule>
    <cfRule type="cellIs" dxfId="348" priority="23" stopIfTrue="1" operator="between">
      <formula>0.5</formula>
      <formula>0.75</formula>
    </cfRule>
    <cfRule type="cellIs" dxfId="347" priority="24" stopIfTrue="1" operator="greaterThan">
      <formula>0.75</formula>
    </cfRule>
    <cfRule type="cellIs" dxfId="346" priority="26" stopIfTrue="1" operator="between">
      <formula>0.5</formula>
      <formula>0.75</formula>
    </cfRule>
    <cfRule type="cellIs" dxfId="345" priority="27" stopIfTrue="1" operator="greaterThan">
      <formula>0.75</formula>
    </cfRule>
    <cfRule type="cellIs" dxfId="344" priority="25" stopIfTrue="1" operator="lessThan">
      <formula>0.5</formula>
    </cfRule>
  </conditionalFormatting>
  <conditionalFormatting sqref="G49:G50">
    <cfRule type="cellIs" dxfId="343" priority="19" stopIfTrue="1" operator="lessThan">
      <formula>0.5</formula>
    </cfRule>
    <cfRule type="containsText" dxfId="342" priority="18" stopIfTrue="1" operator="containsText" text="RED FLAG">
      <formula>NOT(ISERROR(SEARCH("RED FLAG",G49)))</formula>
    </cfRule>
    <cfRule type="cellIs" dxfId="341" priority="17" stopIfTrue="1" operator="greaterThan">
      <formula>0.75</formula>
    </cfRule>
    <cfRule type="cellIs" dxfId="340" priority="16" stopIfTrue="1" operator="between">
      <formula>0.5</formula>
      <formula>0.75</formula>
    </cfRule>
    <cfRule type="cellIs" dxfId="339" priority="15" stopIfTrue="1" operator="lessThan">
      <formula>0.5</formula>
    </cfRule>
    <cfRule type="cellIs" dxfId="338" priority="20" stopIfTrue="1" operator="between">
      <formula>0.5</formula>
      <formula>0.75</formula>
    </cfRule>
    <cfRule type="cellIs" dxfId="337" priority="21" stopIfTrue="1" operator="greaterThan">
      <formula>0.75</formula>
    </cfRule>
  </conditionalFormatting>
  <conditionalFormatting sqref="G51:G54">
    <cfRule type="cellIs" dxfId="336" priority="336" stopIfTrue="1" operator="lessThan">
      <formula>0.5</formula>
    </cfRule>
    <cfRule type="cellIs" dxfId="335" priority="337" stopIfTrue="1" operator="between">
      <formula>0.5</formula>
      <formula>0.75</formula>
    </cfRule>
    <cfRule type="cellIs" dxfId="334" priority="338" stopIfTrue="1" operator="greaterThan">
      <formula>0.75</formula>
    </cfRule>
  </conditionalFormatting>
  <conditionalFormatting sqref="G51:G72 G43:G48 G1:G14 G20:G39 G41 G87:G91">
    <cfRule type="containsText" dxfId="333" priority="152" stopIfTrue="1" operator="containsText" text="RED FLAG">
      <formula>NOT(ISERROR(SEARCH("RED FLAG",G1)))</formula>
    </cfRule>
  </conditionalFormatting>
  <conditionalFormatting sqref="G52:G53">
    <cfRule type="cellIs" dxfId="332" priority="330" stopIfTrue="1" operator="lessThan">
      <formula>0.5</formula>
    </cfRule>
    <cfRule type="cellIs" dxfId="331" priority="331" stopIfTrue="1" operator="between">
      <formula>0.5</formula>
      <formula>0.75</formula>
    </cfRule>
    <cfRule type="cellIs" dxfId="330" priority="332" stopIfTrue="1" operator="greaterThan">
      <formula>0.75</formula>
    </cfRule>
  </conditionalFormatting>
  <conditionalFormatting sqref="G56">
    <cfRule type="cellIs" dxfId="329" priority="325" stopIfTrue="1" operator="between">
      <formula>0.5</formula>
      <formula>0.75</formula>
    </cfRule>
    <cfRule type="cellIs" dxfId="328" priority="324" stopIfTrue="1" operator="lessThan">
      <formula>0.5</formula>
    </cfRule>
    <cfRule type="cellIs" dxfId="327" priority="326" stopIfTrue="1" operator="greaterThan">
      <formula>0.75</formula>
    </cfRule>
  </conditionalFormatting>
  <conditionalFormatting sqref="G58">
    <cfRule type="cellIs" dxfId="326" priority="323" stopIfTrue="1" operator="greaterThan">
      <formula>0.75</formula>
    </cfRule>
    <cfRule type="cellIs" dxfId="325" priority="321" stopIfTrue="1" operator="lessThan">
      <formula>0.5</formula>
    </cfRule>
    <cfRule type="cellIs" dxfId="324" priority="322" stopIfTrue="1" operator="between">
      <formula>0.5</formula>
      <formula>0.75</formula>
    </cfRule>
  </conditionalFormatting>
  <conditionalFormatting sqref="G61:G67">
    <cfRule type="cellIs" dxfId="323" priority="102" stopIfTrue="1" operator="lessThan">
      <formula>0.5</formula>
    </cfRule>
    <cfRule type="cellIs" dxfId="322" priority="103" stopIfTrue="1" operator="between">
      <formula>0.5</formula>
      <formula>0.75</formula>
    </cfRule>
    <cfRule type="cellIs" dxfId="321" priority="104" stopIfTrue="1" operator="greaterThan">
      <formula>0.75</formula>
    </cfRule>
  </conditionalFormatting>
  <conditionalFormatting sqref="G61:G69">
    <cfRule type="cellIs" dxfId="320" priority="317" stopIfTrue="1" operator="greaterThan">
      <formula>0.75</formula>
    </cfRule>
    <cfRule type="cellIs" dxfId="319" priority="316" stopIfTrue="1" operator="between">
      <formula>0.5</formula>
      <formula>0.75</formula>
    </cfRule>
    <cfRule type="cellIs" dxfId="318" priority="315" stopIfTrue="1" operator="lessThan">
      <formula>0.5</formula>
    </cfRule>
  </conditionalFormatting>
  <conditionalFormatting sqref="G69:G72 G76:G83 G94">
    <cfRule type="cellIs" dxfId="317" priority="307" stopIfTrue="1" operator="between">
      <formula>0.5</formula>
      <formula>0.75</formula>
    </cfRule>
    <cfRule type="cellIs" dxfId="316" priority="308" stopIfTrue="1" operator="greaterThan">
      <formula>0.75</formula>
    </cfRule>
  </conditionalFormatting>
  <conditionalFormatting sqref="G71:G72">
    <cfRule type="cellIs" dxfId="315" priority="9" stopIfTrue="1" operator="lessThan">
      <formula>0.5</formula>
    </cfRule>
    <cfRule type="cellIs" dxfId="314" priority="10" stopIfTrue="1" operator="between">
      <formula>0.5</formula>
      <formula>0.75</formula>
    </cfRule>
    <cfRule type="cellIs" dxfId="313" priority="11" stopIfTrue="1" operator="greaterThan">
      <formula>0.75</formula>
    </cfRule>
    <cfRule type="cellIs" dxfId="312" priority="12" stopIfTrue="1" operator="lessThan">
      <formula>0.5</formula>
    </cfRule>
    <cfRule type="cellIs" dxfId="311" priority="13" stopIfTrue="1" operator="between">
      <formula>0.5</formula>
      <formula>0.75</formula>
    </cfRule>
    <cfRule type="cellIs" dxfId="310" priority="14" stopIfTrue="1" operator="greaterThan">
      <formula>0.75</formula>
    </cfRule>
  </conditionalFormatting>
  <conditionalFormatting sqref="G74:G85">
    <cfRule type="containsText" dxfId="309" priority="1" stopIfTrue="1" operator="containsText" text="RED FLAG">
      <formula>NOT(ISERROR(SEARCH("RED FLAG",G74)))</formula>
    </cfRule>
  </conditionalFormatting>
  <conditionalFormatting sqref="G75">
    <cfRule type="cellIs" dxfId="308" priority="2" stopIfTrue="1" operator="lessThan">
      <formula>0.5</formula>
    </cfRule>
    <cfRule type="cellIs" dxfId="307" priority="3" stopIfTrue="1" operator="between">
      <formula>0.5</formula>
      <formula>0.75</formula>
    </cfRule>
    <cfRule type="cellIs" dxfId="306" priority="4" stopIfTrue="1" operator="greaterThan">
      <formula>0.75</formula>
    </cfRule>
  </conditionalFormatting>
  <conditionalFormatting sqref="G76:G83 G94 G69:G72">
    <cfRule type="cellIs" dxfId="305" priority="306" stopIfTrue="1" operator="lessThan">
      <formula>0.5</formula>
    </cfRule>
  </conditionalFormatting>
  <conditionalFormatting sqref="G81:G83">
    <cfRule type="cellIs" dxfId="304" priority="299" stopIfTrue="1" operator="greaterThan">
      <formula>0.75</formula>
    </cfRule>
    <cfRule type="cellIs" dxfId="303" priority="298" stopIfTrue="1" operator="between">
      <formula>0.5</formula>
      <formula>0.75</formula>
    </cfRule>
    <cfRule type="cellIs" dxfId="302" priority="297" stopIfTrue="1" operator="lessThan">
      <formula>0.5</formula>
    </cfRule>
  </conditionalFormatting>
  <conditionalFormatting sqref="G81:G85 G87:G91 G93:G96">
    <cfRule type="cellIs" dxfId="301" priority="292" stopIfTrue="1" operator="between">
      <formula>0.5</formula>
      <formula>0.75</formula>
    </cfRule>
    <cfRule type="cellIs" dxfId="300" priority="293" stopIfTrue="1" operator="greaterThan">
      <formula>0.75</formula>
    </cfRule>
    <cfRule type="cellIs" dxfId="299" priority="291" stopIfTrue="1" operator="lessThan">
      <formula>0.5</formula>
    </cfRule>
  </conditionalFormatting>
  <conditionalFormatting sqref="G85">
    <cfRule type="cellIs" dxfId="298" priority="290" stopIfTrue="1" operator="greaterThan">
      <formula>0.75</formula>
    </cfRule>
    <cfRule type="cellIs" dxfId="297" priority="288" stopIfTrue="1" operator="lessThan">
      <formula>0.5</formula>
    </cfRule>
    <cfRule type="cellIs" dxfId="296" priority="289" stopIfTrue="1" operator="between">
      <formula>0.5</formula>
      <formula>0.75</formula>
    </cfRule>
  </conditionalFormatting>
  <conditionalFormatting sqref="G87:G91">
    <cfRule type="cellIs" dxfId="295" priority="274" stopIfTrue="1" operator="between">
      <formula>0.5</formula>
      <formula>0.75</formula>
    </cfRule>
    <cfRule type="cellIs" dxfId="294" priority="273" stopIfTrue="1" operator="lessThan">
      <formula>0.5</formula>
    </cfRule>
    <cfRule type="cellIs" dxfId="293" priority="275" stopIfTrue="1" operator="greaterThan">
      <formula>0.75</formula>
    </cfRule>
  </conditionalFormatting>
  <conditionalFormatting sqref="G93">
    <cfRule type="cellIs" dxfId="292" priority="270" stopIfTrue="1" operator="lessThan">
      <formula>0.5</formula>
    </cfRule>
    <cfRule type="cellIs" dxfId="291" priority="271" stopIfTrue="1" operator="between">
      <formula>0.5</formula>
      <formula>0.75</formula>
    </cfRule>
    <cfRule type="cellIs" dxfId="290" priority="272" stopIfTrue="1" operator="greaterThan">
      <formula>0.75</formula>
    </cfRule>
  </conditionalFormatting>
  <conditionalFormatting sqref="G93:G1048576">
    <cfRule type="containsText" dxfId="289" priority="51" stopIfTrue="1" operator="containsText" text="RED FLAG">
      <formula>NOT(ISERROR(SEARCH("RED FLAG",G93)))</formula>
    </cfRule>
  </conditionalFormatting>
  <conditionalFormatting sqref="G95:G97">
    <cfRule type="cellIs" dxfId="288" priority="261" stopIfTrue="1" operator="lessThan">
      <formula>0.5</formula>
    </cfRule>
    <cfRule type="cellIs" dxfId="287" priority="262" stopIfTrue="1" operator="between">
      <formula>0.5</formula>
      <formula>0.75</formula>
    </cfRule>
    <cfRule type="cellIs" dxfId="286" priority="263" stopIfTrue="1" operator="greaterThan">
      <formula>0.75</formula>
    </cfRule>
  </conditionalFormatting>
  <conditionalFormatting sqref="G99">
    <cfRule type="cellIs" dxfId="285" priority="67" stopIfTrue="1" operator="greaterThan">
      <formula>0.75</formula>
    </cfRule>
    <cfRule type="cellIs" dxfId="284" priority="65" stopIfTrue="1" operator="lessThan">
      <formula>0.5</formula>
    </cfRule>
    <cfRule type="cellIs" dxfId="283" priority="66" stopIfTrue="1" operator="between">
      <formula>0.5</formula>
      <formula>0.75</formula>
    </cfRule>
  </conditionalFormatting>
  <conditionalFormatting sqref="G100:G106">
    <cfRule type="cellIs" dxfId="282" priority="243" stopIfTrue="1" operator="lessThan">
      <formula>0.5</formula>
    </cfRule>
    <cfRule type="cellIs" dxfId="281" priority="244" stopIfTrue="1" operator="between">
      <formula>0.5</formula>
      <formula>0.75</formula>
    </cfRule>
    <cfRule type="cellIs" dxfId="280" priority="245" stopIfTrue="1" operator="greaterThan">
      <formula>0.75</formula>
    </cfRule>
  </conditionalFormatting>
  <conditionalFormatting sqref="G106:G107">
    <cfRule type="cellIs" dxfId="279" priority="238" stopIfTrue="1" operator="between">
      <formula>0.5</formula>
      <formula>0.75</formula>
    </cfRule>
    <cfRule type="cellIs" dxfId="278" priority="237" stopIfTrue="1" operator="lessThan">
      <formula>0.5</formula>
    </cfRule>
    <cfRule type="cellIs" dxfId="277" priority="239" stopIfTrue="1" operator="greaterThan">
      <formula>0.75</formula>
    </cfRule>
  </conditionalFormatting>
  <conditionalFormatting sqref="G109 G111">
    <cfRule type="cellIs" dxfId="276" priority="6" stopIfTrue="1" operator="lessThan">
      <formula>0.5</formula>
    </cfRule>
    <cfRule type="cellIs" dxfId="275" priority="7" stopIfTrue="1" operator="between">
      <formula>0.5</formula>
      <formula>0.75</formula>
    </cfRule>
    <cfRule type="cellIs" dxfId="274" priority="8" stopIfTrue="1" operator="greaterThan">
      <formula>0.75</formula>
    </cfRule>
  </conditionalFormatting>
  <conditionalFormatting sqref="G109">
    <cfRule type="cellIs" dxfId="273" priority="236" stopIfTrue="1" operator="greaterThan">
      <formula>0.75</formula>
    </cfRule>
    <cfRule type="cellIs" dxfId="272" priority="235" stopIfTrue="1" operator="between">
      <formula>0.5</formula>
      <formula>0.75</formula>
    </cfRule>
    <cfRule type="cellIs" dxfId="271" priority="234" stopIfTrue="1" operator="lessThan">
      <formula>0.5</formula>
    </cfRule>
  </conditionalFormatting>
  <conditionalFormatting sqref="G111:G112">
    <cfRule type="cellIs" dxfId="270" priority="230" stopIfTrue="1" operator="greaterThan">
      <formula>0.75</formula>
    </cfRule>
    <cfRule type="cellIs" dxfId="269" priority="228" stopIfTrue="1" operator="lessThan">
      <formula>0.5</formula>
    </cfRule>
    <cfRule type="cellIs" dxfId="268" priority="229" stopIfTrue="1" operator="between">
      <formula>0.5</formula>
      <formula>0.75</formula>
    </cfRule>
  </conditionalFormatting>
  <conditionalFormatting sqref="G114:G119">
    <cfRule type="cellIs" dxfId="267" priority="221" stopIfTrue="1" operator="greaterThan">
      <formula>0.75</formula>
    </cfRule>
    <cfRule type="cellIs" dxfId="266" priority="219" stopIfTrue="1" operator="lessThan">
      <formula>0.5</formula>
    </cfRule>
    <cfRule type="cellIs" dxfId="265" priority="220" stopIfTrue="1" operator="between">
      <formula>0.5</formula>
      <formula>0.75</formula>
    </cfRule>
  </conditionalFormatting>
  <conditionalFormatting sqref="G117:G134">
    <cfRule type="cellIs" dxfId="264" priority="75" stopIfTrue="1" operator="greaterThan">
      <formula>0.75</formula>
    </cfRule>
    <cfRule type="cellIs" dxfId="263" priority="74" stopIfTrue="1" operator="between">
      <formula>0.5</formula>
      <formula>0.75</formula>
    </cfRule>
    <cfRule type="cellIs" dxfId="262" priority="73" stopIfTrue="1" operator="lessThan">
      <formula>0.5</formula>
    </cfRule>
  </conditionalFormatting>
  <conditionalFormatting sqref="G136:G141">
    <cfRule type="cellIs" dxfId="261" priority="70" stopIfTrue="1" operator="between">
      <formula>0.5</formula>
      <formula>0.75</formula>
    </cfRule>
    <cfRule type="cellIs" dxfId="260" priority="71" stopIfTrue="1" operator="greaterThan">
      <formula>0.75</formula>
    </cfRule>
    <cfRule type="cellIs" dxfId="259" priority="69" stopIfTrue="1" operator="lessThan">
      <formula>0.5</formula>
    </cfRule>
  </conditionalFormatting>
  <conditionalFormatting sqref="G143:G149">
    <cfRule type="cellIs" dxfId="258" priority="77" stopIfTrue="1" operator="lessThan">
      <formula>0.5</formula>
    </cfRule>
    <cfRule type="cellIs" dxfId="257" priority="78" stopIfTrue="1" operator="between">
      <formula>0.5</formula>
      <formula>0.75</formula>
    </cfRule>
    <cfRule type="cellIs" dxfId="256" priority="79" stopIfTrue="1" operator="greaterThan">
      <formula>0.75</formula>
    </cfRule>
  </conditionalFormatting>
  <conditionalFormatting sqref="G153:G160">
    <cfRule type="cellIs" dxfId="255" priority="62" stopIfTrue="1" operator="greaterThan">
      <formula>0.75</formula>
    </cfRule>
    <cfRule type="cellIs" dxfId="254" priority="60" stopIfTrue="1" operator="lessThan">
      <formula>0.5</formula>
    </cfRule>
    <cfRule type="cellIs" dxfId="253" priority="61" stopIfTrue="1" operator="between">
      <formula>0.5</formula>
      <formula>0.75</formula>
    </cfRule>
  </conditionalFormatting>
  <conditionalFormatting sqref="I5:I12 I103">
    <cfRule type="containsText" dxfId="252" priority="30" operator="containsText" text="Red Flag">
      <formula>NOT(ISERROR(SEARCH("Red Flag",I5)))</formula>
    </cfRule>
  </conditionalFormatting>
  <conditionalFormatting sqref="I43:I44">
    <cfRule type="cellIs" dxfId="251" priority="34" stopIfTrue="1" operator="greaterThan">
      <formula>0.75</formula>
    </cfRule>
    <cfRule type="cellIs" dxfId="250" priority="32" stopIfTrue="1" operator="lessThan">
      <formula>0.5</formula>
    </cfRule>
    <cfRule type="containsText" dxfId="249" priority="31" stopIfTrue="1" operator="containsText" text="RED FLAG">
      <formula>NOT(ISERROR(SEARCH("RED FLAG",I43)))</formula>
    </cfRule>
    <cfRule type="cellIs" dxfId="248" priority="33" stopIfTrue="1" operator="between">
      <formula>0.5</formula>
      <formula>0.75</formula>
    </cfRule>
  </conditionalFormatting>
  <conditionalFormatting sqref="I56">
    <cfRule type="cellIs" dxfId="247" priority="36" stopIfTrue="1" operator="lessThan">
      <formula>0.5</formula>
    </cfRule>
    <cfRule type="cellIs" dxfId="246" priority="38" stopIfTrue="1" operator="greaterThan">
      <formula>0.75</formula>
    </cfRule>
    <cfRule type="cellIs" dxfId="245" priority="37" stopIfTrue="1" operator="between">
      <formula>0.5</formula>
      <formula>0.75</formula>
    </cfRule>
    <cfRule type="containsText" dxfId="244" priority="35" stopIfTrue="1" operator="containsText" text="RED FLAG">
      <formula>NOT(ISERROR(SEARCH("RED FLAG",I56)))</formula>
    </cfRule>
  </conditionalFormatting>
  <conditionalFormatting sqref="I61">
    <cfRule type="cellIs" dxfId="243" priority="119" stopIfTrue="1" operator="between">
      <formula>0.5</formula>
      <formula>0.75</formula>
    </cfRule>
    <cfRule type="cellIs" dxfId="242" priority="118" stopIfTrue="1" operator="lessThan">
      <formula>0.5</formula>
    </cfRule>
    <cfRule type="containsText" dxfId="241" priority="117" stopIfTrue="1" operator="containsText" text="RED FLAG">
      <formula>NOT(ISERROR(SEARCH("RED FLAG",I61)))</formula>
    </cfRule>
    <cfRule type="cellIs" dxfId="240" priority="120" stopIfTrue="1" operator="greaterThan">
      <formula>0.75</formula>
    </cfRule>
  </conditionalFormatting>
  <conditionalFormatting sqref="I77:I80">
    <cfRule type="cellIs" dxfId="239" priority="97" stopIfTrue="1" operator="greaterThan">
      <formula>0.75</formula>
    </cfRule>
    <cfRule type="cellIs" dxfId="238" priority="96" stopIfTrue="1" operator="between">
      <formula>0.5</formula>
      <formula>0.75</formula>
    </cfRule>
    <cfRule type="cellIs" dxfId="237" priority="95" stopIfTrue="1" operator="lessThan">
      <formula>0.5</formula>
    </cfRule>
    <cfRule type="containsText" dxfId="236" priority="94" stopIfTrue="1" operator="containsText" text="RED FLAG">
      <formula>NOT(ISERROR(SEARCH("RED FLAG",I77)))</formula>
    </cfRule>
  </conditionalFormatting>
  <conditionalFormatting sqref="I95">
    <cfRule type="containsText" dxfId="235" priority="29" operator="containsText" text="Training Opportunity">
      <formula>NOT(ISERROR(SEARCH("Training Opportunity",I95)))</formula>
    </cfRule>
  </conditionalFormatting>
  <conditionalFormatting sqref="I102">
    <cfRule type="cellIs" dxfId="234" priority="115" stopIfTrue="1" operator="between">
      <formula>0.5</formula>
      <formula>0.75</formula>
    </cfRule>
    <cfRule type="cellIs" dxfId="233" priority="116" stopIfTrue="1" operator="greaterThan">
      <formula>0.75</formula>
    </cfRule>
    <cfRule type="containsText" dxfId="232" priority="113" stopIfTrue="1" operator="containsText" text="RED FLAG">
      <formula>NOT(ISERROR(SEARCH("RED FLAG",I102)))</formula>
    </cfRule>
    <cfRule type="cellIs" dxfId="231" priority="114" stopIfTrue="1" operator="lessThan">
      <formula>0.5</formula>
    </cfRule>
  </conditionalFormatting>
  <conditionalFormatting sqref="I105:I106">
    <cfRule type="containsText" dxfId="230" priority="109" stopIfTrue="1" operator="containsText" text="RED FLAG">
      <formula>NOT(ISERROR(SEARCH("RED FLAG",I105)))</formula>
    </cfRule>
    <cfRule type="cellIs" dxfId="229" priority="111" stopIfTrue="1" operator="between">
      <formula>0.5</formula>
      <formula>0.75</formula>
    </cfRule>
    <cfRule type="cellIs" dxfId="228" priority="110" stopIfTrue="1" operator="lessThan">
      <formula>0.5</formula>
    </cfRule>
    <cfRule type="cellIs" dxfId="227" priority="112" stopIfTrue="1" operator="greaterThan">
      <formula>0.75</formula>
    </cfRule>
  </conditionalFormatting>
  <conditionalFormatting sqref="I111">
    <cfRule type="containsText" dxfId="226" priority="39" stopIfTrue="1" operator="containsText" text="RED FLAG">
      <formula>NOT(ISERROR(SEARCH("RED FLAG",I111)))</formula>
    </cfRule>
    <cfRule type="cellIs" dxfId="225" priority="42" stopIfTrue="1" operator="greaterThan">
      <formula>0.75</formula>
    </cfRule>
    <cfRule type="cellIs" dxfId="224" priority="41" stopIfTrue="1" operator="between">
      <formula>0.5</formula>
      <formula>0.75</formula>
    </cfRule>
    <cfRule type="cellIs" dxfId="223" priority="40" stopIfTrue="1" operator="lessThan">
      <formula>0.5</formula>
    </cfRule>
  </conditionalFormatting>
  <conditionalFormatting sqref="I125:I134">
    <cfRule type="containsText" dxfId="222" priority="5" operator="containsText" text="Red Flag">
      <formula>NOT(ISERROR(SEARCH("Red Flag",I125)))</formula>
    </cfRule>
  </conditionalFormatting>
  <conditionalFormatting sqref="I140">
    <cfRule type="cellIs" dxfId="221" priority="50" stopIfTrue="1" operator="greaterThan">
      <formula>0.75</formula>
    </cfRule>
    <cfRule type="cellIs" dxfId="220" priority="49" stopIfTrue="1" operator="between">
      <formula>0.5</formula>
      <formula>0.75</formula>
    </cfRule>
    <cfRule type="cellIs" dxfId="219" priority="48" stopIfTrue="1" operator="lessThan">
      <formula>0.5</formula>
    </cfRule>
    <cfRule type="containsText" dxfId="218" priority="47" stopIfTrue="1" operator="containsText" text="RED FLAG">
      <formula>NOT(ISERROR(SEARCH("RED FLAG",I140)))</formula>
    </cfRule>
  </conditionalFormatting>
  <conditionalFormatting sqref="I148">
    <cfRule type="cellIs" dxfId="217" priority="46" stopIfTrue="1" operator="greaterThan">
      <formula>0.75</formula>
    </cfRule>
    <cfRule type="cellIs" dxfId="216" priority="45" stopIfTrue="1" operator="between">
      <formula>0.5</formula>
      <formula>0.75</formula>
    </cfRule>
    <cfRule type="cellIs" dxfId="215" priority="44" stopIfTrue="1" operator="lessThan">
      <formula>0.5</formula>
    </cfRule>
    <cfRule type="containsText" dxfId="214" priority="43" stopIfTrue="1" operator="containsText" text="RED FLAG">
      <formula>NOT(ISERROR(SEARCH("RED FLAG",I148)))</formula>
    </cfRule>
  </conditionalFormatting>
  <conditionalFormatting sqref="I153:I160">
    <cfRule type="cellIs" dxfId="213" priority="56" stopIfTrue="1" operator="lessThan">
      <formula>0.5</formula>
    </cfRule>
    <cfRule type="containsText" dxfId="212" priority="55" stopIfTrue="1" operator="containsText" text="RED FLAG">
      <formula>NOT(ISERROR(SEARCH("RED FLAG",I153)))</formula>
    </cfRule>
    <cfRule type="cellIs" dxfId="211" priority="58" stopIfTrue="1" operator="greaterThan">
      <formula>0.75</formula>
    </cfRule>
    <cfRule type="cellIs" dxfId="210" priority="57" stopIfTrue="1" operator="between">
      <formula>0.5</formula>
      <formula>0.75</formula>
    </cfRule>
  </conditionalFormatting>
  <dataValidations count="4">
    <dataValidation type="list" allowBlank="1" showInputMessage="1" showErrorMessage="1" sqref="C103" xr:uid="{00000000-0002-0000-1000-000000000000}">
      <formula1>"1,2,3,NA"</formula1>
    </dataValidation>
    <dataValidation type="list" allowBlank="1" showInputMessage="1" showErrorMessage="1" sqref="C120" xr:uid="{00000000-0002-0000-1000-000001000000}">
      <formula1>"1,2,NA"</formula1>
    </dataValidation>
    <dataValidation type="list" allowBlank="1" showInputMessage="1" showErrorMessage="1" sqref="C49 C93 C107 C56 C125:C134 C116:C119 C109 C101 C87:C91 C153:C160 C71:C72 C84:C85 C43:C45 C58 C21:C39 C51:C53 C144:C148 C68:C69 C136:C140 C5:C9 C10:C12" xr:uid="{00000000-0002-0000-1000-000002000000}">
      <formula1>"Yes,No,NA"</formula1>
    </dataValidation>
    <dataValidation type="list" allowBlank="1" showInputMessage="1" showErrorMessage="1" sqref="C143 C61:C67 C95:C96 C102 C105:C106 C111 C123 C75 C99 C50 C47 C77:C83" xr:uid="{00000000-0002-0000-1000-000003000000}">
      <formula1>"Yes,No"</formula1>
    </dataValidation>
  </dataValidations>
  <pageMargins left="0.25" right="0.25" top="0.75000000000000011" bottom="0.75000000000000011" header="0.30000000000000004" footer="0.30000000000000004"/>
  <pageSetup paperSize="9" scale="94" fitToHeight="7" orientation="landscape" r:id="rId1"/>
  <headerFooter>
    <oddFooter>&amp;C&amp;A -&amp;P</oddFooter>
  </headerFooter>
  <rowBreaks count="5" manualBreakCount="5">
    <brk id="29" max="7" man="1"/>
    <brk id="51" max="7" man="1"/>
    <brk id="73" max="4" man="1"/>
    <brk id="97" max="4" man="1"/>
    <brk id="121"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0070C0"/>
    <pageSetUpPr fitToPage="1"/>
  </sheetPr>
  <dimension ref="A1:K49"/>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30" customWidth="1"/>
    <col min="4" max="4" width="3.69921875" customWidth="1"/>
    <col min="5" max="5" width="3.69921875" hidden="1" customWidth="1"/>
    <col min="6" max="6" width="5.19921875" style="30" hidden="1" customWidth="1"/>
    <col min="7" max="7" width="5.19921875" customWidth="1"/>
    <col min="8" max="8" width="37.69921875" style="71" customWidth="1"/>
    <col min="9" max="9" width="9.69921875" style="130" customWidth="1"/>
    <col min="10" max="10" width="11" style="150"/>
  </cols>
  <sheetData>
    <row r="1" spans="1:8">
      <c r="A1" s="10"/>
      <c r="B1" s="43" t="str">
        <f>Language!A1584</f>
        <v>13- AST PANELS, POLICY &amp; ANALYSIS</v>
      </c>
      <c r="C1" s="51" t="str">
        <f>IF(COUNT(G5:G149)=0,"???",AVERAGE(G5:G149))</f>
        <v>???</v>
      </c>
      <c r="F1" s="28"/>
      <c r="H1" s="192" t="str">
        <f>'Facility 1'!H1</f>
        <v>Comments</v>
      </c>
    </row>
    <row r="2" spans="1:8" ht="16.2" thickBot="1">
      <c r="A2" s="10"/>
      <c r="B2" s="202" t="str">
        <f>Language!A1585</f>
        <v>Please note: all questions refer only to clinical patient isolates, NOT to research or environmental isolates</v>
      </c>
      <c r="C2" s="19"/>
      <c r="F2" s="28"/>
      <c r="H2" s="193"/>
    </row>
    <row r="3" spans="1:8" ht="16.2" thickBot="1">
      <c r="A3" s="160"/>
      <c r="B3" s="34" t="str">
        <f>Language!A1586</f>
        <v>AST PANELS</v>
      </c>
      <c r="C3" s="44" t="str">
        <f>IF(COUNTBLANK(C5:C16)=12,"???",IF(COUNT(G5:G16)=0,"NA",AVERAGE(G5:G16)))</f>
        <v>???</v>
      </c>
      <c r="E3" s="30"/>
      <c r="F3" s="28"/>
      <c r="G3" s="30"/>
      <c r="H3" s="427"/>
    </row>
    <row r="4" spans="1:8" ht="41.55" customHeight="1">
      <c r="A4" s="10"/>
      <c r="B4" s="8" t="str">
        <f>Language!A1587</f>
        <v>Is there an SOP that clearly defines the standard combination of antibiotics ("antibiotic panels") the lab will test against each of the following pathogens? (CLSI and EUCAST documents are not SOPs)</v>
      </c>
    </row>
    <row r="5" spans="1:8">
      <c r="A5" s="76" t="s">
        <v>6479</v>
      </c>
      <c r="B5" s="439" t="str">
        <f>Language!A1588</f>
        <v>Staphylococcus aureus</v>
      </c>
      <c r="C5" s="27"/>
      <c r="F5" s="29">
        <f t="shared" ref="F5:F12" si="0">C5</f>
        <v>0</v>
      </c>
      <c r="G5" s="18" t="str">
        <f>IF(F5="Yes",1,IF(F5="No",0,"'"))</f>
        <v>'</v>
      </c>
      <c r="H5" s="430"/>
    </row>
    <row r="6" spans="1:8">
      <c r="A6" s="76" t="s">
        <v>6480</v>
      </c>
      <c r="B6" s="439" t="str">
        <f>Language!A1589</f>
        <v>Enterococcus spp</v>
      </c>
      <c r="C6" s="27"/>
      <c r="F6" s="29">
        <f t="shared" si="0"/>
        <v>0</v>
      </c>
      <c r="G6" s="18" t="str">
        <f t="shared" ref="G6:G16" si="1">IF(F6="Yes",1,IF(F6="No",0,"'"))</f>
        <v>'</v>
      </c>
      <c r="H6" s="430"/>
    </row>
    <row r="7" spans="1:8">
      <c r="A7" s="76" t="s">
        <v>6481</v>
      </c>
      <c r="B7" s="439" t="str">
        <f>Language!A1590</f>
        <v>Streptococcus pneumoniae</v>
      </c>
      <c r="C7" s="27"/>
      <c r="F7" s="29">
        <f t="shared" si="0"/>
        <v>0</v>
      </c>
      <c r="G7" s="18" t="str">
        <f t="shared" si="1"/>
        <v>'</v>
      </c>
      <c r="H7" s="430"/>
    </row>
    <row r="8" spans="1:8">
      <c r="A8" s="76" t="s">
        <v>6482</v>
      </c>
      <c r="B8" s="439" t="str">
        <f>Language!A1591</f>
        <v>Enterobacteriaceae</v>
      </c>
      <c r="C8" s="27"/>
      <c r="F8" s="29">
        <f t="shared" si="0"/>
        <v>0</v>
      </c>
      <c r="G8" s="18" t="str">
        <f t="shared" si="1"/>
        <v>'</v>
      </c>
      <c r="H8" s="430"/>
    </row>
    <row r="9" spans="1:8">
      <c r="A9" s="76" t="s">
        <v>6483</v>
      </c>
      <c r="B9" s="439" t="str">
        <f>Language!A1592</f>
        <v>Salmonella spp</v>
      </c>
      <c r="C9" s="27"/>
      <c r="F9" s="29">
        <f t="shared" si="0"/>
        <v>0</v>
      </c>
      <c r="G9" s="18" t="str">
        <f t="shared" si="1"/>
        <v>'</v>
      </c>
      <c r="H9" s="430"/>
    </row>
    <row r="10" spans="1:8">
      <c r="A10" s="76" t="s">
        <v>6484</v>
      </c>
      <c r="B10" s="439" t="str">
        <f>Language!A1593</f>
        <v>Acinetobacter spp</v>
      </c>
      <c r="C10" s="27"/>
      <c r="F10" s="29">
        <f t="shared" si="0"/>
        <v>0</v>
      </c>
      <c r="G10" s="18" t="str">
        <f t="shared" si="1"/>
        <v>'</v>
      </c>
      <c r="H10" s="430"/>
    </row>
    <row r="11" spans="1:8">
      <c r="A11" s="76" t="s">
        <v>6485</v>
      </c>
      <c r="B11" s="439" t="str">
        <f>Language!A1594</f>
        <v>Pseudomonas aeruginosa</v>
      </c>
      <c r="C11" s="27"/>
      <c r="F11" s="29">
        <f t="shared" si="0"/>
        <v>0</v>
      </c>
      <c r="G11" s="18" t="str">
        <f t="shared" si="1"/>
        <v>'</v>
      </c>
      <c r="H11" s="430"/>
    </row>
    <row r="12" spans="1:8" ht="27.6" customHeight="1">
      <c r="A12" s="76" t="s">
        <v>6486</v>
      </c>
      <c r="B12" s="20" t="str">
        <f>Language!A1595</f>
        <v>Review several patient AST reports for E. coli. Is the same combination of antibiotics tested each time?</v>
      </c>
      <c r="C12" s="27"/>
      <c r="F12" s="29">
        <f t="shared" si="0"/>
        <v>0</v>
      </c>
      <c r="G12" s="18" t="str">
        <f t="shared" si="1"/>
        <v>'</v>
      </c>
      <c r="H12" s="430"/>
    </row>
    <row r="13" spans="1:8" ht="41.55" customHeight="1">
      <c r="A13" s="10"/>
      <c r="B13" s="8" t="str">
        <f>Language!A1596</f>
        <v>Does the SOP clearly define how to modify the standard antibiotic panels described above based upon the body site of infection? ONLY select NA if the laboratory does not perform testing on the body site listed.</v>
      </c>
      <c r="G13" s="203"/>
    </row>
    <row r="14" spans="1:8">
      <c r="A14" s="76" t="s">
        <v>6487</v>
      </c>
      <c r="B14" s="37" t="str">
        <f>Language!A1597</f>
        <v>Urine</v>
      </c>
      <c r="C14" s="27"/>
      <c r="F14" s="29">
        <f>C14</f>
        <v>0</v>
      </c>
      <c r="G14" s="18" t="str">
        <f t="shared" si="1"/>
        <v>'</v>
      </c>
      <c r="H14" s="430"/>
    </row>
    <row r="15" spans="1:8">
      <c r="A15" s="76" t="s">
        <v>6488</v>
      </c>
      <c r="B15" s="37" t="str">
        <f>Language!A1598</f>
        <v>CSF</v>
      </c>
      <c r="C15" s="27"/>
      <c r="F15" s="29">
        <f>C15</f>
        <v>0</v>
      </c>
      <c r="G15" s="18" t="str">
        <f t="shared" si="1"/>
        <v>'</v>
      </c>
      <c r="H15" s="430"/>
    </row>
    <row r="16" spans="1:8">
      <c r="A16" s="76" t="s">
        <v>6489</v>
      </c>
      <c r="B16" s="37" t="str">
        <f>Language!A1599</f>
        <v>Blood</v>
      </c>
      <c r="C16" s="27"/>
      <c r="F16" s="29">
        <f>C16</f>
        <v>0</v>
      </c>
      <c r="G16" s="18" t="str">
        <f t="shared" si="1"/>
        <v>'</v>
      </c>
      <c r="H16" s="430"/>
    </row>
    <row r="17" spans="1:11" ht="16.2" thickBot="1">
      <c r="A17" s="16"/>
      <c r="B17" s="444"/>
      <c r="C17" s="98"/>
      <c r="D17" s="400"/>
      <c r="E17" s="150"/>
      <c r="F17" s="194"/>
      <c r="G17" s="150"/>
      <c r="H17" s="212"/>
      <c r="I17"/>
      <c r="K17" s="150"/>
    </row>
    <row r="18" spans="1:11" ht="16.2" thickBot="1">
      <c r="A18" s="160"/>
      <c r="B18" s="34" t="str">
        <f>Language!A1600</f>
        <v>CUMULATIVE ANTIBIOGRAMS</v>
      </c>
      <c r="C18" s="44" t="str">
        <f>IF(COUNTBLANK(C19:C32)=14,"???",IF(COUNT(G19:G32)=0,"NA",AVERAGE(G19:G32)))</f>
        <v>???</v>
      </c>
      <c r="E18" s="30"/>
      <c r="G18" s="30"/>
      <c r="H18" s="427"/>
      <c r="I18" s="203"/>
    </row>
    <row r="19" spans="1:11">
      <c r="A19" s="76" t="s">
        <v>6490</v>
      </c>
      <c r="B19" s="8" t="str">
        <f>Language!A1601</f>
        <v>Does the lab produce a cumulative antibiogram at least annually?</v>
      </c>
      <c r="C19" s="27"/>
      <c r="F19" s="29">
        <f>C19</f>
        <v>0</v>
      </c>
      <c r="G19" s="18" t="str">
        <f>IF(F19="Yes",1,IF(F19="No",0,"'"))</f>
        <v>'</v>
      </c>
      <c r="H19" s="430"/>
      <c r="I19" s="203"/>
      <c r="J19" s="204"/>
    </row>
    <row r="20" spans="1:11">
      <c r="A20" s="76" t="s">
        <v>6491</v>
      </c>
      <c r="B20" s="8" t="str">
        <f>Language!A1603</f>
        <v>Does the lab have a software program to produce the antibiogram?</v>
      </c>
      <c r="C20" s="27"/>
      <c r="F20" s="29">
        <f>C20</f>
        <v>0</v>
      </c>
      <c r="G20" s="18" t="str">
        <f t="shared" ref="G20:G32" si="2">IF(F20="Yes",1,IF(F20="No",0,"'"))</f>
        <v>'</v>
      </c>
      <c r="H20" s="430"/>
      <c r="I20" s="203"/>
    </row>
    <row r="21" spans="1:11" ht="27.6" customHeight="1">
      <c r="A21" s="10"/>
      <c r="B21" s="8" t="str">
        <f>Language!A1604</f>
        <v>Review the most recent cumulative antibiogram. Does it adhere to the following CLSI M39 recommendations?</v>
      </c>
      <c r="C21" s="2"/>
      <c r="F21" s="29"/>
      <c r="G21" s="203"/>
      <c r="H21" s="164"/>
      <c r="I21" s="203"/>
      <c r="J21" s="233"/>
    </row>
    <row r="22" spans="1:11">
      <c r="A22" s="76" t="s">
        <v>6492</v>
      </c>
      <c r="B22" s="37" t="str">
        <f>Language!A1605</f>
        <v>Clearly displays the inclusive date range (e.g. Jan 1, YYYY – Dec 31, YYYY)</v>
      </c>
      <c r="C22" s="27"/>
      <c r="F22" s="29">
        <f t="shared" ref="F22:F32" si="3">C22</f>
        <v>0</v>
      </c>
      <c r="G22" s="18" t="str">
        <f t="shared" si="2"/>
        <v>'</v>
      </c>
      <c r="H22" s="430"/>
      <c r="I22" s="203"/>
    </row>
    <row r="23" spans="1:11">
      <c r="A23" s="76" t="s">
        <v>6493</v>
      </c>
      <c r="B23" s="37" t="str">
        <f>Language!A1606</f>
        <v xml:space="preserve">Clearly displays the name of the hospital/facility </v>
      </c>
      <c r="C23" s="27"/>
      <c r="F23" s="29">
        <f t="shared" si="3"/>
        <v>0</v>
      </c>
      <c r="G23" s="18" t="str">
        <f t="shared" si="2"/>
        <v>'</v>
      </c>
      <c r="H23" s="430"/>
      <c r="I23" s="203"/>
    </row>
    <row r="24" spans="1:11">
      <c r="A24" s="76" t="s">
        <v>6494</v>
      </c>
      <c r="B24" s="37" t="str">
        <f>Language!A1607</f>
        <v>Data is presented as %S (not %R)</v>
      </c>
      <c r="C24" s="27"/>
      <c r="F24" s="29">
        <f t="shared" si="3"/>
        <v>0</v>
      </c>
      <c r="G24" s="18" t="str">
        <f t="shared" si="2"/>
        <v>'</v>
      </c>
      <c r="H24" s="430"/>
      <c r="I24" s="203"/>
    </row>
    <row r="25" spans="1:11">
      <c r="A25" s="76" t="s">
        <v>6495</v>
      </c>
      <c r="B25" s="37" t="str">
        <f>Language!A1608</f>
        <v>For each organism, the total N tested is displayed</v>
      </c>
      <c r="C25" s="27"/>
      <c r="F25" s="29">
        <f t="shared" si="3"/>
        <v>0</v>
      </c>
      <c r="G25" s="18" t="str">
        <f t="shared" si="2"/>
        <v>'</v>
      </c>
      <c r="H25" s="430"/>
      <c r="I25" s="203"/>
    </row>
    <row r="26" spans="1:11">
      <c r="A26" s="76" t="s">
        <v>6496</v>
      </c>
      <c r="B26" s="37" t="str">
        <f>Language!A1609</f>
        <v>Only presents data for organisms/antibiotics where the total N = 30 or more isolates</v>
      </c>
      <c r="C26" s="27"/>
      <c r="F26" s="29">
        <f t="shared" si="3"/>
        <v>0</v>
      </c>
      <c r="G26" s="18" t="str">
        <f t="shared" si="2"/>
        <v>'</v>
      </c>
      <c r="H26" s="430"/>
      <c r="I26" s="203"/>
    </row>
    <row r="27" spans="1:11" ht="27.6" customHeight="1">
      <c r="A27" s="76" t="s">
        <v>6497</v>
      </c>
      <c r="B27" s="8" t="str">
        <f>Language!A1610</f>
        <v>Are isolates from environmental cultures and screening cultures (e.g., MRSA screen, VRE screen) excluded from the analysis?</v>
      </c>
      <c r="C27" s="27"/>
      <c r="F27" s="29">
        <f t="shared" si="3"/>
        <v>0</v>
      </c>
      <c r="G27" s="18" t="str">
        <f t="shared" si="2"/>
        <v>'</v>
      </c>
      <c r="H27" s="430"/>
      <c r="I27" s="203"/>
    </row>
    <row r="28" spans="1:11" ht="41.55" customHeight="1">
      <c r="A28" s="76" t="s">
        <v>6498</v>
      </c>
      <c r="B28" s="8" t="str">
        <f>Language!A1611</f>
        <v>Is the lab able to de-duplicate the data, so that only the first isolate of a given species per patient, per analysis period is included, irrespective of the body site of recovery?</v>
      </c>
      <c r="C28" s="27"/>
      <c r="F28" s="29">
        <f t="shared" si="3"/>
        <v>0</v>
      </c>
      <c r="G28" s="18" t="str">
        <f t="shared" si="2"/>
        <v>'</v>
      </c>
      <c r="H28" s="430"/>
      <c r="I28" s="203"/>
    </row>
    <row r="29" spans="1:11">
      <c r="A29" s="76" t="s">
        <v>6499</v>
      </c>
      <c r="B29" s="8" t="str">
        <f>Language!A1612</f>
        <v>Is the lab able to separate inpatient data from outpatient data?</v>
      </c>
      <c r="C29" s="27"/>
      <c r="F29" s="29">
        <f t="shared" si="3"/>
        <v>0</v>
      </c>
      <c r="G29" s="18" t="str">
        <f t="shared" si="2"/>
        <v>'</v>
      </c>
      <c r="H29" s="430"/>
      <c r="I29" s="203"/>
    </row>
    <row r="30" spans="1:11" ht="27.6" customHeight="1">
      <c r="A30" s="76" t="s">
        <v>6500</v>
      </c>
      <c r="B30" s="8" t="str">
        <f>Language!A1613</f>
        <v>If the lab serves multiple hospitals/facilities, are they able to separate the data by Facility?</v>
      </c>
      <c r="C30" s="27"/>
      <c r="F30" s="29">
        <f t="shared" si="3"/>
        <v>0</v>
      </c>
      <c r="G30" s="18" t="str">
        <f t="shared" si="2"/>
        <v>'</v>
      </c>
      <c r="H30" s="430"/>
      <c r="I30" s="203"/>
    </row>
    <row r="31" spans="1:11" ht="27.6" customHeight="1">
      <c r="A31" s="76" t="s">
        <v>6501</v>
      </c>
      <c r="B31" s="8" t="str">
        <f>Language!A1614</f>
        <v>Is the cumulative antibiogram reviewed annually by either an Antibiotic Stewardship or a Pharmacy &amp; Therapeutics Committee?</v>
      </c>
      <c r="C31" s="27"/>
      <c r="F31" s="29">
        <f t="shared" si="3"/>
        <v>0</v>
      </c>
      <c r="G31" s="18" t="str">
        <f t="shared" si="2"/>
        <v>'</v>
      </c>
      <c r="H31" s="430"/>
      <c r="I31" s="203"/>
    </row>
    <row r="32" spans="1:11">
      <c r="A32" s="76" t="s">
        <v>6502</v>
      </c>
      <c r="B32" s="8" t="str">
        <f>Language!A1615</f>
        <v>Is the cumulative antibiogram distributed to all physicians?</v>
      </c>
      <c r="C32" s="27"/>
      <c r="F32" s="29">
        <f t="shared" si="3"/>
        <v>0</v>
      </c>
      <c r="G32" s="18" t="str">
        <f t="shared" si="2"/>
        <v>'</v>
      </c>
      <c r="H32" s="430"/>
      <c r="I32" s="203"/>
    </row>
    <row r="33" spans="1:10" ht="16.2" thickBot="1">
      <c r="A33" s="10"/>
      <c r="B33" s="18"/>
      <c r="C33" s="18"/>
      <c r="D33" s="18"/>
      <c r="E33" s="18"/>
      <c r="F33" s="18"/>
      <c r="G33" s="18"/>
      <c r="H33" s="254"/>
      <c r="I33" s="203"/>
    </row>
    <row r="34" spans="1:10" ht="16.2" thickBot="1">
      <c r="A34" s="160"/>
      <c r="B34" s="34" t="str">
        <f>Language!A1616</f>
        <v>AST POLICY</v>
      </c>
      <c r="C34" s="44" t="str">
        <f>IF(COUNTBLANK(C35:C48)=14,"???",IF(COUNT(G35:G48)=0,"NA",AVERAGE(G35:G48)))</f>
        <v>???</v>
      </c>
      <c r="E34" s="30"/>
      <c r="F34" s="28"/>
      <c r="G34" s="30"/>
      <c r="H34" s="427"/>
      <c r="I34" s="203"/>
    </row>
    <row r="35" spans="1:10" ht="27.6" customHeight="1">
      <c r="A35" s="76" t="s">
        <v>6503</v>
      </c>
      <c r="B35" s="8" t="str">
        <f>Language!A1617</f>
        <v>Does lab policy primarily determine which isolates receive AST, or is AST performed only when it is specifically requested by the doctor?</v>
      </c>
      <c r="C35" s="32"/>
      <c r="F35" s="29">
        <f>C35</f>
        <v>0</v>
      </c>
      <c r="G35" s="18" t="str">
        <f>IF(F35=2,0,IF(F35=1,1,IF(F35=3,0.5,"'")))</f>
        <v>'</v>
      </c>
      <c r="H35" s="430"/>
      <c r="I35" s="177" t="str">
        <f>IF(F35=2,"System Flag",IF(F35=3,"System Flag","'"))</f>
        <v>'</v>
      </c>
    </row>
    <row r="36" spans="1:10" ht="27.6" customHeight="1">
      <c r="A36" s="10"/>
      <c r="B36" s="439" t="str">
        <f>Language!A1618</f>
        <v>1: Lab policy primarily determines - 2: Only when requested by clinician - 3: Equal mix of both</v>
      </c>
      <c r="C36"/>
      <c r="F36"/>
      <c r="H36" s="169"/>
      <c r="I36" s="203"/>
    </row>
    <row r="37" spans="1:10" ht="27.6" customHeight="1">
      <c r="A37" s="76" t="s">
        <v>6504</v>
      </c>
      <c r="B37" s="8" t="str">
        <f>Language!A1619</f>
        <v>Does lab policy primarily determine which antibiotics to test and report, or does the lab only test and report the antibiotics specifically requested by the physician?</v>
      </c>
      <c r="C37" s="32"/>
      <c r="F37" s="29">
        <f>C37</f>
        <v>0</v>
      </c>
      <c r="G37" s="18" t="str">
        <f>IF(F37=2,0,IF(F37=1,1,IF(F37=3,0.5,"'")))</f>
        <v>'</v>
      </c>
      <c r="H37" s="430"/>
      <c r="I37" s="177" t="str">
        <f>IF(F37=2,"System Flag",IF(F37=3,"System Flag","'"))</f>
        <v>'</v>
      </c>
    </row>
    <row r="38" spans="1:10" ht="27.6" customHeight="1">
      <c r="A38" s="76"/>
      <c r="B38" s="439" t="str">
        <f>Language!A1620</f>
        <v>1: Lab policy primarily determines - 2: Only the antibiotics requested by physician - 3: Equal mix of both</v>
      </c>
      <c r="C38" s="438"/>
      <c r="I38" s="203"/>
    </row>
    <row r="39" spans="1:10" ht="55.2" customHeight="1">
      <c r="A39" s="10"/>
      <c r="B39" s="20" t="str">
        <f>Language!A1621</f>
        <v>"Cascade reporting” is a strategy of selective reporting of AST results in which secondary agents (e.g., broader spectrum, more costly) may be suppressed or excluded from the patient report if an organism is susceptible to primary agents within the same drug class.</v>
      </c>
      <c r="C39"/>
      <c r="F39"/>
      <c r="I39" s="203"/>
    </row>
    <row r="40" spans="1:10">
      <c r="A40" s="76" t="s">
        <v>6505</v>
      </c>
      <c r="B40" s="8" t="str">
        <f>Language!A1622</f>
        <v xml:space="preserve"> Does the lab practice “cascade reporting”?</v>
      </c>
      <c r="C40" s="108"/>
      <c r="F40" s="29"/>
      <c r="G40" s="18"/>
      <c r="H40" s="430"/>
      <c r="I40" s="203"/>
      <c r="J40" s="204"/>
    </row>
    <row r="41" spans="1:10">
      <c r="A41" s="10"/>
      <c r="B41" s="439" t="str">
        <f>Language!A1623</f>
        <v>If no, answer NA to next question</v>
      </c>
      <c r="I41" s="203"/>
    </row>
    <row r="42" spans="1:10" ht="41.55" customHeight="1">
      <c r="A42" s="10"/>
      <c r="B42" s="20" t="str">
        <f>Language!A1624</f>
        <v>With cascade reporting, there is a risk that the AST results excluded from the patient report may also be excluded from the main data repository or LIS. This can lead to highly biased AMR surveillance and cumulative antibiogram statistics.</v>
      </c>
      <c r="I42" s="203"/>
    </row>
    <row r="43" spans="1:10" ht="27.6" customHeight="1">
      <c r="A43" s="76" t="s">
        <v>6506</v>
      </c>
      <c r="B43" s="8" t="str">
        <f>Language!A1625</f>
        <v>If the lab practices cascade reporting, is it done in a way which ensures that the AST results excluded from the patient report are NOT excluded from the LIS or other main data repository?</v>
      </c>
      <c r="C43" s="27"/>
      <c r="F43" s="29">
        <f>C43</f>
        <v>0</v>
      </c>
      <c r="G43" s="18" t="str">
        <f t="shared" ref="G43:G48" si="4">IF(F43="Yes",1,IF(F43="No",0,"'"))</f>
        <v>'</v>
      </c>
      <c r="H43" s="430"/>
      <c r="I43" s="18" t="str">
        <f>IF(C43="No","Red Flag","'")</f>
        <v>'</v>
      </c>
    </row>
    <row r="44" spans="1:10">
      <c r="A44" s="76" t="s">
        <v>6507</v>
      </c>
      <c r="B44" s="8" t="str">
        <f>Language!A1626</f>
        <v>Does the hospital have an Antibiotic Stewardship Committee?</v>
      </c>
      <c r="C44" s="27"/>
      <c r="F44" s="29">
        <f t="shared" ref="F44:F48" si="5">C44</f>
        <v>0</v>
      </c>
      <c r="G44" s="18" t="str">
        <f t="shared" si="4"/>
        <v>'</v>
      </c>
      <c r="H44" s="430"/>
      <c r="I44" s="18" t="str">
        <f>IF(C44="No","System Flag","'")</f>
        <v>'</v>
      </c>
    </row>
    <row r="45" spans="1:10">
      <c r="A45" s="76" t="s">
        <v>6508</v>
      </c>
      <c r="B45" s="8" t="str">
        <f>Language!A1627</f>
        <v>If the hospital has an Antibiotic Stewardship Committee, is a microbiologist a member?</v>
      </c>
      <c r="C45" s="27"/>
      <c r="F45" s="29">
        <f t="shared" si="5"/>
        <v>0</v>
      </c>
      <c r="G45" s="18" t="str">
        <f t="shared" si="4"/>
        <v>'</v>
      </c>
      <c r="H45" s="433"/>
      <c r="I45" s="18" t="str">
        <f>IF(C45="No","System Flag","'")</f>
        <v>'</v>
      </c>
    </row>
    <row r="46" spans="1:10">
      <c r="A46" s="76" t="s">
        <v>6509</v>
      </c>
      <c r="B46" s="8" t="str">
        <f>Language!A1628</f>
        <v>Does the hospital have a Pharmacy and Therapeutics Committee?</v>
      </c>
      <c r="C46" s="27"/>
      <c r="F46" s="29">
        <f t="shared" si="5"/>
        <v>0</v>
      </c>
      <c r="G46" s="18" t="str">
        <f t="shared" si="4"/>
        <v>'</v>
      </c>
      <c r="H46" s="433"/>
      <c r="I46" s="18" t="str">
        <f>IF(C46="No","System Flag","'")</f>
        <v>'</v>
      </c>
    </row>
    <row r="47" spans="1:10">
      <c r="A47" s="76" t="s">
        <v>6510</v>
      </c>
      <c r="B47" s="8" t="str">
        <f>Language!A1629</f>
        <v>If the hospital has a Pharmacy and Therapeutics Committee, is a microbiologist a member?</v>
      </c>
      <c r="C47" s="27"/>
      <c r="F47" s="29">
        <f t="shared" si="5"/>
        <v>0</v>
      </c>
      <c r="G47" s="18" t="str">
        <f t="shared" si="4"/>
        <v>'</v>
      </c>
      <c r="H47" s="433"/>
      <c r="I47" s="18" t="str">
        <f>IF(C47="No","System Flag","'")</f>
        <v>'</v>
      </c>
    </row>
    <row r="48" spans="1:10" ht="41.55" customHeight="1">
      <c r="A48" s="76" t="s">
        <v>6511</v>
      </c>
      <c r="B48" s="8" t="str">
        <f>Language!A1630</f>
        <v>Does the hospital's Antibiotic Stewardship or Pharmacy and Therapeutic Committee meet at least annually to review national or international AST panel recommendations and modify them based on the hospital's formulary and cumulative antibiogram?</v>
      </c>
      <c r="C48" s="27"/>
      <c r="F48" s="29">
        <f t="shared" si="5"/>
        <v>0</v>
      </c>
      <c r="G48" s="18" t="str">
        <f t="shared" si="4"/>
        <v>'</v>
      </c>
      <c r="H48" s="430"/>
      <c r="I48" s="18" t="str">
        <f>IF(C48="No","System Flag","'")</f>
        <v>'</v>
      </c>
    </row>
    <row r="49" spans="1:1">
      <c r="A49" s="10"/>
    </row>
  </sheetData>
  <sheetProtection algorithmName="SHA-256" hashValue="DKVZTo01YOfrdOTCZLM81ETAxvcNoB9GffS3v42nR8Y=" saltValue="xKWh54TCTptdNfEBdjgmZw==" spinCount="100000" sheet="1" selectLockedCells="1"/>
  <phoneticPr fontId="45" type="noConversion"/>
  <conditionalFormatting sqref="C3">
    <cfRule type="cellIs" dxfId="209" priority="250" stopIfTrue="1" operator="lessThan">
      <formula>0.5</formula>
    </cfRule>
    <cfRule type="cellIs" dxfId="208" priority="249" stopIfTrue="1" operator="between">
      <formula>0.5</formula>
      <formula>0.799</formula>
    </cfRule>
    <cfRule type="cellIs" dxfId="207" priority="248" stopIfTrue="1" operator="greaterThanOrEqual">
      <formula>0.8</formula>
    </cfRule>
  </conditionalFormatting>
  <conditionalFormatting sqref="C18">
    <cfRule type="cellIs" dxfId="206" priority="198" stopIfTrue="1" operator="between">
      <formula>0.5</formula>
      <formula>0.799</formula>
    </cfRule>
    <cfRule type="cellIs" dxfId="205" priority="199" stopIfTrue="1" operator="lessThan">
      <formula>0.5</formula>
    </cfRule>
    <cfRule type="cellIs" dxfId="204" priority="197" stopIfTrue="1" operator="greaterThanOrEqual">
      <formula>0.8</formula>
    </cfRule>
  </conditionalFormatting>
  <conditionalFormatting sqref="C34">
    <cfRule type="cellIs" dxfId="203" priority="21" stopIfTrue="1" operator="greaterThanOrEqual">
      <formula>0.8</formula>
    </cfRule>
    <cfRule type="cellIs" dxfId="202" priority="22" stopIfTrue="1" operator="between">
      <formula>0.5</formula>
      <formula>0.799</formula>
    </cfRule>
    <cfRule type="cellIs" dxfId="201" priority="23" stopIfTrue="1" operator="lessThan">
      <formula>0.5</formula>
    </cfRule>
  </conditionalFormatting>
  <conditionalFormatting sqref="G1:G12 G14:G16 G18:G20 G22:G32 B33:G33 G67:G1048576">
    <cfRule type="containsText" dxfId="200" priority="163" stopIfTrue="1" operator="containsText" text="RED FLAG">
      <formula>NOT(ISERROR(SEARCH("RED FLAG",B1)))</formula>
    </cfRule>
  </conditionalFormatting>
  <conditionalFormatting sqref="G5:G12 G14:G16">
    <cfRule type="cellIs" dxfId="199" priority="231" stopIfTrue="1" operator="between">
      <formula>0.5</formula>
      <formula>0.75</formula>
    </cfRule>
    <cfRule type="cellIs" dxfId="198" priority="230" stopIfTrue="1" operator="lessThan">
      <formula>0.5</formula>
    </cfRule>
    <cfRule type="cellIs" dxfId="197" priority="232" stopIfTrue="1" operator="greaterThan">
      <formula>0.75</formula>
    </cfRule>
  </conditionalFormatting>
  <conditionalFormatting sqref="G6:G12">
    <cfRule type="cellIs" dxfId="196" priority="213" stopIfTrue="1" operator="between">
      <formula>0.5</formula>
      <formula>0.75</formula>
    </cfRule>
    <cfRule type="cellIs" dxfId="195" priority="212" stopIfTrue="1" operator="lessThan">
      <formula>0.5</formula>
    </cfRule>
    <cfRule type="cellIs" dxfId="194" priority="214" stopIfTrue="1" operator="greaterThan">
      <formula>0.75</formula>
    </cfRule>
  </conditionalFormatting>
  <conditionalFormatting sqref="G14:G15">
    <cfRule type="cellIs" dxfId="193" priority="206" stopIfTrue="1" operator="lessThan">
      <formula>0.5</formula>
    </cfRule>
    <cfRule type="cellIs" dxfId="192" priority="207" stopIfTrue="1" operator="between">
      <formula>0.5</formula>
      <formula>0.75</formula>
    </cfRule>
    <cfRule type="cellIs" dxfId="191" priority="208" stopIfTrue="1" operator="greaterThan">
      <formula>0.75</formula>
    </cfRule>
  </conditionalFormatting>
  <conditionalFormatting sqref="G16 B33:G33 G40">
    <cfRule type="cellIs" dxfId="190" priority="246" stopIfTrue="1" operator="between">
      <formula>0.5</formula>
      <formula>0.75</formula>
    </cfRule>
    <cfRule type="cellIs" dxfId="189" priority="247" stopIfTrue="1" operator="greaterThan">
      <formula>0.75</formula>
    </cfRule>
    <cfRule type="cellIs" dxfId="188" priority="245" stopIfTrue="1" operator="lessThan">
      <formula>0.5</formula>
    </cfRule>
  </conditionalFormatting>
  <conditionalFormatting sqref="G19:G20 G22:G32">
    <cfRule type="cellIs" dxfId="187" priority="196" stopIfTrue="1" operator="greaterThan">
      <formula>0.75</formula>
    </cfRule>
    <cfRule type="cellIs" dxfId="186" priority="194" stopIfTrue="1" operator="lessThan">
      <formula>0.5</formula>
    </cfRule>
    <cfRule type="cellIs" dxfId="185" priority="195" stopIfTrue="1" operator="between">
      <formula>0.5</formula>
      <formula>0.75</formula>
    </cfRule>
  </conditionalFormatting>
  <conditionalFormatting sqref="G34">
    <cfRule type="containsText" dxfId="184" priority="107" stopIfTrue="1" operator="containsText" text="RED FLAG">
      <formula>NOT(ISERROR(SEARCH("RED FLAG",G34)))</formula>
    </cfRule>
  </conditionalFormatting>
  <conditionalFormatting sqref="G35">
    <cfRule type="cellIs" dxfId="183" priority="15" stopIfTrue="1" operator="between">
      <formula>0.5</formula>
      <formula>0.75</formula>
    </cfRule>
    <cfRule type="cellIs" dxfId="182" priority="14" stopIfTrue="1" operator="lessThan">
      <formula>0.5</formula>
    </cfRule>
    <cfRule type="cellIs" dxfId="181" priority="16" stopIfTrue="1" operator="greaterThan">
      <formula>0.75</formula>
    </cfRule>
  </conditionalFormatting>
  <conditionalFormatting sqref="G36">
    <cfRule type="containsText" dxfId="180" priority="17" stopIfTrue="1" operator="containsText" text="RED FLAG">
      <formula>NOT(ISERROR(SEARCH("RED FLAG",G36)))</formula>
    </cfRule>
  </conditionalFormatting>
  <conditionalFormatting sqref="G37">
    <cfRule type="cellIs" dxfId="179" priority="5" stopIfTrue="1" operator="lessThan">
      <formula>0.5</formula>
    </cfRule>
    <cfRule type="cellIs" dxfId="178" priority="7" stopIfTrue="1" operator="greaterThan">
      <formula>0.75</formula>
    </cfRule>
    <cfRule type="cellIs" dxfId="177" priority="6" stopIfTrue="1" operator="between">
      <formula>0.5</formula>
      <formula>0.75</formula>
    </cfRule>
  </conditionalFormatting>
  <conditionalFormatting sqref="G38:G49">
    <cfRule type="containsText" dxfId="176" priority="1" stopIfTrue="1" operator="containsText" text="RED FLAG">
      <formula>NOT(ISERROR(SEARCH("RED FLAG",G38)))</formula>
    </cfRule>
  </conditionalFormatting>
  <conditionalFormatting sqref="G43:G48">
    <cfRule type="cellIs" dxfId="175" priority="2" stopIfTrue="1" operator="lessThan">
      <formula>0.5</formula>
    </cfRule>
    <cfRule type="cellIs" dxfId="174" priority="3" stopIfTrue="1" operator="between">
      <formula>0.5</formula>
      <formula>0.75</formula>
    </cfRule>
    <cfRule type="cellIs" dxfId="173" priority="4" stopIfTrue="1" operator="greaterThan">
      <formula>0.75</formula>
    </cfRule>
  </conditionalFormatting>
  <conditionalFormatting sqref="I35">
    <cfRule type="containsText" dxfId="172" priority="12" operator="containsText" text="System Flag">
      <formula>NOT(ISERROR(SEARCH("System Flag",I35)))</formula>
    </cfRule>
  </conditionalFormatting>
  <conditionalFormatting sqref="I37">
    <cfRule type="containsText" dxfId="171" priority="11" operator="containsText" text="System Flag">
      <formula>NOT(ISERROR(SEARCH("System Flag",I37)))</formula>
    </cfRule>
  </conditionalFormatting>
  <conditionalFormatting sqref="I43">
    <cfRule type="containsText" dxfId="170" priority="99" stopIfTrue="1" operator="containsText" text="RED FLAG">
      <formula>NOT(ISERROR(SEARCH("RED FLAG",I43)))</formula>
    </cfRule>
    <cfRule type="cellIs" dxfId="169" priority="102" stopIfTrue="1" operator="greaterThan">
      <formula>0.75</formula>
    </cfRule>
    <cfRule type="cellIs" dxfId="168" priority="101" stopIfTrue="1" operator="between">
      <formula>0.5</formula>
      <formula>0.75</formula>
    </cfRule>
    <cfRule type="cellIs" dxfId="167" priority="100" stopIfTrue="1" operator="lessThan">
      <formula>0.5</formula>
    </cfRule>
  </conditionalFormatting>
  <conditionalFormatting sqref="I44:I48">
    <cfRule type="containsText" dxfId="166" priority="20" operator="containsText" text="System Flag">
      <formula>NOT(ISERROR(SEARCH("System Flag",I44)))</formula>
    </cfRule>
  </conditionalFormatting>
  <dataValidations count="3">
    <dataValidation type="list" allowBlank="1" showInputMessage="1" showErrorMessage="1" sqref="C19 C5:C12 C40" xr:uid="{00000000-0002-0000-1100-000000000000}">
      <formula1>"Yes,No"</formula1>
    </dataValidation>
    <dataValidation type="list" allowBlank="1" showInputMessage="1" showErrorMessage="1" sqref="C43:C48 C14:C16 C22:C32 C20" xr:uid="{00000000-0002-0000-1100-000001000000}">
      <formula1>"Yes,No,NA"</formula1>
    </dataValidation>
    <dataValidation type="list" allowBlank="1" showInputMessage="1" showErrorMessage="1" sqref="C35 C37" xr:uid="{00000000-0002-0000-1100-000002000000}">
      <formula1>"1,2,3"</formula1>
    </dataValidation>
  </dataValidations>
  <pageMargins left="0.25" right="0.25" top="0.75000000000000011" bottom="0.75000000000000011" header="0.30000000000000004" footer="0.30000000000000004"/>
  <pageSetup paperSize="9" scale="89" fitToHeight="2" orientation="landscape" r:id="rId1"/>
  <headerFooter>
    <oddFooter>&amp;C&amp;A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G2595"/>
  <sheetViews>
    <sheetView tabSelected="1" zoomScale="90" zoomScaleNormal="90" zoomScalePageLayoutView="80" workbookViewId="0">
      <pane xSplit="1" topLeftCell="B1" activePane="topRight" state="frozen"/>
      <selection activeCell="A314" sqref="A314"/>
      <selection pane="topRight" activeCell="B651" sqref="B651"/>
    </sheetView>
  </sheetViews>
  <sheetFormatPr defaultColWidth="11" defaultRowHeight="13.8"/>
  <cols>
    <col min="1" max="1" width="5.69921875" style="5" customWidth="1"/>
    <col min="2" max="3" width="30.69921875" style="26" customWidth="1"/>
    <col min="4" max="4" width="30.69921875" style="353" customWidth="1"/>
    <col min="5" max="5" width="30.69921875" style="524" customWidth="1"/>
    <col min="6" max="6" width="30.69921875" style="438" customWidth="1"/>
    <col min="7" max="7" width="56.19921875" style="5" customWidth="1"/>
    <col min="8" max="8" width="54.69921875" style="5" customWidth="1"/>
    <col min="9" max="16384" width="11" style="5"/>
  </cols>
  <sheetData>
    <row r="1" spans="1:7" ht="18">
      <c r="A1" s="548" t="str">
        <f>A4</f>
        <v>Select the number of the desired language in cell A3: 1- English, 2- French, 3- Spanish, 4-Portuguese, 5-Other</v>
      </c>
      <c r="B1" s="548"/>
      <c r="C1" s="548"/>
      <c r="D1" s="279"/>
      <c r="E1" s="523"/>
    </row>
    <row r="2" spans="1:7">
      <c r="A2" s="440" t="s">
        <v>0</v>
      </c>
      <c r="C2" s="481"/>
      <c r="D2" s="481"/>
    </row>
    <row r="3" spans="1:7" s="287" customFormat="1" ht="18">
      <c r="A3" s="442">
        <v>1</v>
      </c>
      <c r="B3" s="349" t="str">
        <f>A5</f>
        <v>1-English</v>
      </c>
      <c r="C3" s="349" t="str">
        <f>A6</f>
        <v>2-French</v>
      </c>
      <c r="D3" s="349" t="str">
        <f>A7</f>
        <v>3-Spanish</v>
      </c>
      <c r="E3" s="547" t="str">
        <f>A8</f>
        <v>4-Portuguese</v>
      </c>
      <c r="F3" s="546" t="s">
        <v>1</v>
      </c>
      <c r="G3" s="5"/>
    </row>
    <row r="4" spans="1:7" ht="41.4">
      <c r="A4" s="286" t="str">
        <f t="shared" ref="A4:A78" si="0">IF(langue=1,B4,IF(langue=2,C4,IF(langue=3,D4,IF(langue=4,E4,F4))))</f>
        <v>Select the number of the desired language in cell A3: 1- English, 2- French, 3- Spanish, 4-Portuguese, 5-Other</v>
      </c>
      <c r="B4" s="164" t="s">
        <v>2</v>
      </c>
      <c r="C4" s="26" t="s">
        <v>3</v>
      </c>
      <c r="D4" s="279" t="s">
        <v>4</v>
      </c>
      <c r="E4" s="549" t="s">
        <v>5</v>
      </c>
    </row>
    <row r="5" spans="1:7">
      <c r="A5" s="286" t="str">
        <f t="shared" si="0"/>
        <v>1-English</v>
      </c>
      <c r="B5" s="26" t="s">
        <v>6</v>
      </c>
      <c r="C5" s="26" t="s">
        <v>7</v>
      </c>
      <c r="D5" s="279" t="s">
        <v>8</v>
      </c>
      <c r="E5" s="524" t="s">
        <v>9</v>
      </c>
    </row>
    <row r="6" spans="1:7">
      <c r="A6" s="286" t="str">
        <f t="shared" si="0"/>
        <v>2-French</v>
      </c>
      <c r="B6" s="26" t="s">
        <v>10</v>
      </c>
      <c r="C6" s="26" t="s">
        <v>11</v>
      </c>
      <c r="D6" s="279" t="s">
        <v>12</v>
      </c>
      <c r="E6" s="524" t="s">
        <v>13</v>
      </c>
    </row>
    <row r="7" spans="1:7">
      <c r="A7" s="286" t="str">
        <f t="shared" si="0"/>
        <v>3-Spanish</v>
      </c>
      <c r="B7" s="26" t="s">
        <v>14</v>
      </c>
      <c r="C7" s="26" t="s">
        <v>15</v>
      </c>
      <c r="D7" s="279" t="s">
        <v>16</v>
      </c>
      <c r="E7" s="524" t="s">
        <v>17</v>
      </c>
    </row>
    <row r="8" spans="1:7">
      <c r="A8" s="286" t="str">
        <f t="shared" si="0"/>
        <v>4-Portuguese</v>
      </c>
      <c r="B8" s="26" t="s">
        <v>18</v>
      </c>
      <c r="C8" s="26" t="s">
        <v>19</v>
      </c>
      <c r="D8" s="279" t="s">
        <v>20</v>
      </c>
      <c r="E8" s="524" t="s">
        <v>21</v>
      </c>
    </row>
    <row r="9" spans="1:7">
      <c r="A9" s="286" t="str">
        <f t="shared" si="0"/>
        <v>Laboratory Assessment</v>
      </c>
      <c r="B9" s="26" t="s">
        <v>22</v>
      </c>
      <c r="C9" s="26" t="s">
        <v>23</v>
      </c>
      <c r="D9" s="279" t="s">
        <v>24</v>
      </c>
      <c r="E9" s="524" t="s">
        <v>25</v>
      </c>
    </row>
    <row r="10" spans="1:7">
      <c r="A10" s="286" t="str">
        <f t="shared" si="0"/>
        <v xml:space="preserve">of </v>
      </c>
      <c r="B10" s="26" t="s">
        <v>26</v>
      </c>
      <c r="C10" s="26" t="s">
        <v>27</v>
      </c>
      <c r="D10" s="279" t="s">
        <v>28</v>
      </c>
      <c r="E10" s="524" t="s">
        <v>29</v>
      </c>
    </row>
    <row r="11" spans="1:7">
      <c r="A11" s="286" t="str">
        <f t="shared" si="0"/>
        <v>Antibiotic Resistance</v>
      </c>
      <c r="B11" s="26" t="s">
        <v>30</v>
      </c>
      <c r="C11" s="26" t="s">
        <v>31</v>
      </c>
      <c r="D11" s="279" t="s">
        <v>32</v>
      </c>
      <c r="E11" s="524" t="s">
        <v>33</v>
      </c>
    </row>
    <row r="12" spans="1:7">
      <c r="A12" s="286" t="str">
        <f t="shared" si="0"/>
        <v>Testing Capacity</v>
      </c>
      <c r="B12" s="26" t="s">
        <v>34</v>
      </c>
      <c r="C12" s="26" t="s">
        <v>35</v>
      </c>
      <c r="D12" s="164" t="s">
        <v>36</v>
      </c>
      <c r="E12" s="524" t="s">
        <v>37</v>
      </c>
    </row>
    <row r="13" spans="1:7">
      <c r="A13" s="286" t="str">
        <f t="shared" si="0"/>
        <v>LAARC</v>
      </c>
      <c r="B13" s="26" t="s">
        <v>38</v>
      </c>
      <c r="C13" s="26" t="s">
        <v>38</v>
      </c>
      <c r="D13" s="26" t="s">
        <v>38</v>
      </c>
      <c r="E13" s="524" t="s">
        <v>38</v>
      </c>
    </row>
    <row r="14" spans="1:7" s="383" customFormat="1">
      <c r="A14" s="441" t="str">
        <f t="shared" si="0"/>
        <v>Version 2.0 - August 2020</v>
      </c>
      <c r="B14" s="304" t="s">
        <v>39</v>
      </c>
      <c r="C14" s="304" t="s">
        <v>40</v>
      </c>
      <c r="D14" s="382" t="s">
        <v>41</v>
      </c>
      <c r="E14" s="525" t="s">
        <v>42</v>
      </c>
      <c r="F14" s="544"/>
    </row>
    <row r="15" spans="1:7" ht="27.6">
      <c r="A15" s="286" t="str">
        <f t="shared" si="0"/>
        <v>Developed by CDC in collaboration with IQLS</v>
      </c>
      <c r="B15" s="26" t="s">
        <v>43</v>
      </c>
      <c r="C15" s="392" t="s">
        <v>44</v>
      </c>
      <c r="D15" s="391" t="s">
        <v>45</v>
      </c>
      <c r="E15" s="526" t="s">
        <v>46</v>
      </c>
    </row>
    <row r="16" spans="1:7" ht="55.2">
      <c r="A16" s="286" t="str">
        <f t="shared" si="0"/>
        <v>Please register your use of the Laboratory Assessment of Antibiotic Resistance Testing Capacity (LAARC) Tool.</v>
      </c>
      <c r="B16" s="26" t="s">
        <v>47</v>
      </c>
      <c r="C16" s="392" t="s">
        <v>48</v>
      </c>
      <c r="D16" s="391" t="s">
        <v>49</v>
      </c>
      <c r="E16" s="526" t="s">
        <v>50</v>
      </c>
    </row>
    <row r="17" spans="1:6">
      <c r="A17" s="286" t="str">
        <f t="shared" si="0"/>
        <v>Registration is optional.</v>
      </c>
      <c r="B17" s="26" t="s">
        <v>51</v>
      </c>
      <c r="C17" s="392" t="s">
        <v>52</v>
      </c>
      <c r="D17" s="391" t="s">
        <v>53</v>
      </c>
      <c r="E17" s="526" t="s">
        <v>54</v>
      </c>
    </row>
    <row r="18" spans="1:6" ht="41.4">
      <c r="A18" s="286" t="str">
        <f t="shared" si="0"/>
        <v xml:space="preserve">If you register, CDC will notify you of updates and changes to the LAARC Tool. </v>
      </c>
      <c r="B18" s="26" t="s">
        <v>55</v>
      </c>
      <c r="C18" s="392" t="s">
        <v>56</v>
      </c>
      <c r="D18" s="391" t="s">
        <v>57</v>
      </c>
      <c r="E18" s="526" t="s">
        <v>58</v>
      </c>
    </row>
    <row r="19" spans="1:6" ht="96.6">
      <c r="A19" s="286" t="str">
        <f t="shared" si="0"/>
        <v>In addition, CDC may request feedback to improve the tool or ask you to participate in research to better understand antimicrobial resistance laboratory findings from around the world. Sharing information is optional.</v>
      </c>
      <c r="B19" s="26" t="s">
        <v>59</v>
      </c>
      <c r="C19" s="392" t="s">
        <v>60</v>
      </c>
      <c r="D19" s="391" t="s">
        <v>61</v>
      </c>
      <c r="E19" s="526" t="s">
        <v>62</v>
      </c>
    </row>
    <row r="20" spans="1:6">
      <c r="A20" s="286" t="str">
        <f t="shared" si="0"/>
        <v>LAARC Tool Registration (optional) (https://www.cdc.gov/drugresistance/intl-activities/registration.html)</v>
      </c>
      <c r="B20" s="520" t="s">
        <v>63</v>
      </c>
      <c r="C20" s="520" t="s">
        <v>64</v>
      </c>
      <c r="D20" s="521" t="s">
        <v>65</v>
      </c>
      <c r="E20" s="527" t="s">
        <v>66</v>
      </c>
    </row>
    <row r="21" spans="1:6" ht="41.4">
      <c r="A21" s="286" t="str">
        <f t="shared" si="0"/>
        <v>Tables for use with AST Expert Rules Module, questions 12.7 - 12.25</v>
      </c>
      <c r="B21" s="26" t="s">
        <v>67</v>
      </c>
      <c r="C21" s="26" t="s">
        <v>68</v>
      </c>
      <c r="D21" s="279" t="s">
        <v>69</v>
      </c>
      <c r="E21" s="524" t="s">
        <v>70</v>
      </c>
    </row>
    <row r="22" spans="1:6" ht="55.2">
      <c r="A22" s="286" t="str">
        <f t="shared" si="0"/>
        <v>Current CLSI and EUCAST breakpoints for Salmonella spp, Enterobacterales, Acinetobacter spp, and Pseudomonas aeruginosa</v>
      </c>
      <c r="B22" s="26" t="s">
        <v>71</v>
      </c>
      <c r="C22" s="26" t="s">
        <v>72</v>
      </c>
      <c r="D22" s="279" t="s">
        <v>73</v>
      </c>
      <c r="E22" s="524" t="s">
        <v>74</v>
      </c>
    </row>
    <row r="23" spans="1:6" ht="27.6">
      <c r="A23" s="286" t="str">
        <f t="shared" si="0"/>
        <v>Figure for use with AST QC Module, questions 7.7 - 7.11</v>
      </c>
      <c r="B23" s="26" t="s">
        <v>75</v>
      </c>
      <c r="C23" s="26" t="s">
        <v>76</v>
      </c>
      <c r="D23" s="279" t="s">
        <v>77</v>
      </c>
      <c r="E23" s="524" t="s">
        <v>78</v>
      </c>
    </row>
    <row r="24" spans="1:6" ht="27.6">
      <c r="A24" s="286" t="str">
        <f t="shared" si="0"/>
        <v>Workflow for subculturing and using reference strains</v>
      </c>
      <c r="B24" s="26" t="s">
        <v>79</v>
      </c>
      <c r="C24" s="26" t="s">
        <v>80</v>
      </c>
      <c r="D24" s="279" t="s">
        <v>81</v>
      </c>
      <c r="E24" s="524" t="s">
        <v>82</v>
      </c>
    </row>
    <row r="25" spans="1:6" ht="27.6">
      <c r="A25" s="286" t="str">
        <f t="shared" si="0"/>
        <v>as described in CLSI M02, Subchapter 4.4</v>
      </c>
      <c r="B25" s="26" t="s">
        <v>83</v>
      </c>
      <c r="C25" s="26" t="s">
        <v>84</v>
      </c>
      <c r="D25" s="279" t="s">
        <v>85</v>
      </c>
      <c r="E25" s="524" t="s">
        <v>86</v>
      </c>
    </row>
    <row r="26" spans="1:6" ht="27.6">
      <c r="A26" s="286" t="str">
        <f t="shared" si="0"/>
        <v>"F" indicates the frozen or freeze-dried state of the stock culture</v>
      </c>
      <c r="B26" s="26" t="s">
        <v>87</v>
      </c>
      <c r="C26" s="26" t="s">
        <v>88</v>
      </c>
      <c r="D26" s="279" t="s">
        <v>89</v>
      </c>
      <c r="E26" s="524" t="s">
        <v>90</v>
      </c>
    </row>
    <row r="27" spans="1:6">
      <c r="A27" s="286" t="str">
        <f t="shared" si="0"/>
        <v>"1" indicates the first passage</v>
      </c>
      <c r="B27" s="26" t="s">
        <v>91</v>
      </c>
      <c r="C27" s="26" t="s">
        <v>92</v>
      </c>
      <c r="D27" s="279" t="s">
        <v>93</v>
      </c>
      <c r="E27" s="524" t="s">
        <v>94</v>
      </c>
    </row>
    <row r="28" spans="1:6">
      <c r="A28" s="286" t="str">
        <f t="shared" si="0"/>
        <v>"2" indicates the second passage</v>
      </c>
      <c r="B28" s="26" t="s">
        <v>95</v>
      </c>
      <c r="C28" s="26" t="s">
        <v>96</v>
      </c>
      <c r="D28" s="279" t="s">
        <v>97</v>
      </c>
      <c r="E28" s="524" t="s">
        <v>98</v>
      </c>
    </row>
    <row r="29" spans="1:6" ht="27.6">
      <c r="A29" s="286" t="str">
        <f t="shared" si="0"/>
        <v>"3" indicates the third passage from stock culture</v>
      </c>
      <c r="B29" s="26" t="s">
        <v>99</v>
      </c>
      <c r="C29" s="26" t="s">
        <v>100</v>
      </c>
      <c r="D29" s="279" t="s">
        <v>101</v>
      </c>
      <c r="E29" s="524" t="s">
        <v>102</v>
      </c>
    </row>
    <row r="30" spans="1:6" ht="82.8">
      <c r="A30" s="286" t="str">
        <f t="shared" si="0"/>
        <v>Please use this Excel scoring tool in conjunction with the LAARC User Guide and Questionnaire, which includes the questions in a printable format. Available on the CDC website:</v>
      </c>
      <c r="B30" s="26" t="s">
        <v>103</v>
      </c>
      <c r="C30" s="391" t="s">
        <v>104</v>
      </c>
      <c r="D30" s="392" t="s">
        <v>105</v>
      </c>
      <c r="E30" s="524" t="s">
        <v>106</v>
      </c>
    </row>
    <row r="31" spans="1:6" s="383" customFormat="1">
      <c r="A31" s="441" t="str">
        <f t="shared" si="0"/>
        <v>https://www.cdc.gov/drugresistance/intl-activities/laarc.html</v>
      </c>
      <c r="B31" s="521" t="s">
        <v>107</v>
      </c>
      <c r="C31" s="521" t="s">
        <v>107</v>
      </c>
      <c r="D31" s="521" t="s">
        <v>107</v>
      </c>
      <c r="E31" s="521" t="s">
        <v>107</v>
      </c>
      <c r="F31" s="544"/>
    </row>
    <row r="32" spans="1:6" ht="55.2">
      <c r="A32" s="286" t="str">
        <f t="shared" si="0"/>
        <v>Changing language can also change the row height, making it difficult to read the information in the blue and red tabs.</v>
      </c>
      <c r="B32" s="26" t="s">
        <v>108</v>
      </c>
      <c r="C32" s="391" t="s">
        <v>109</v>
      </c>
      <c r="D32" s="392" t="s">
        <v>110</v>
      </c>
      <c r="E32" s="528" t="s">
        <v>111</v>
      </c>
    </row>
    <row r="33" spans="1:5" ht="69">
      <c r="A33" s="286" t="str">
        <f t="shared" si="0"/>
        <v>To correct this, click on the grey triangle in the upper left-hand corner between row 1 and column A, then select Home, Cells, Format, Autofit Row Height</v>
      </c>
      <c r="B33" s="26" t="s">
        <v>112</v>
      </c>
      <c r="C33" s="392" t="s">
        <v>113</v>
      </c>
      <c r="D33" s="392" t="s">
        <v>114</v>
      </c>
      <c r="E33" s="528" t="s">
        <v>115</v>
      </c>
    </row>
    <row r="34" spans="1:5" ht="27.6">
      <c r="A34" s="286" t="str">
        <f t="shared" si="0"/>
        <v>Repeat this action in each blue and red tab.</v>
      </c>
      <c r="B34" s="383" t="s">
        <v>116</v>
      </c>
      <c r="C34" s="392" t="s">
        <v>117</v>
      </c>
      <c r="D34" s="392" t="s">
        <v>118</v>
      </c>
      <c r="E34" s="528" t="s">
        <v>119</v>
      </c>
    </row>
    <row r="35" spans="1:5" ht="27.6">
      <c r="A35" s="286" t="str">
        <f t="shared" si="0"/>
        <v>Figure for use with Facility Module, question 1.13</v>
      </c>
      <c r="B35" s="26" t="s">
        <v>120</v>
      </c>
      <c r="C35" s="26" t="s">
        <v>121</v>
      </c>
      <c r="D35" s="279" t="s">
        <v>122</v>
      </c>
      <c r="E35" s="524" t="s">
        <v>123</v>
      </c>
    </row>
    <row r="36" spans="1:5" ht="27.6">
      <c r="A36" s="286" t="str">
        <f t="shared" si="0"/>
        <v>McFarland QC Standards in front of a Wickerham card</v>
      </c>
      <c r="B36" s="26" t="s">
        <v>124</v>
      </c>
      <c r="C36" s="26" t="s">
        <v>125</v>
      </c>
      <c r="D36" s="279" t="s">
        <v>126</v>
      </c>
      <c r="E36" s="524" t="s">
        <v>127</v>
      </c>
    </row>
    <row r="37" spans="1:5" ht="41.4">
      <c r="A37" s="286" t="str">
        <f t="shared" si="0"/>
        <v>Laboratory Assessment of Antibiotic Resistance Testing Capacity</v>
      </c>
      <c r="B37" s="26" t="s">
        <v>128</v>
      </c>
      <c r="C37" s="26" t="s">
        <v>129</v>
      </c>
      <c r="D37" s="279" t="s">
        <v>130</v>
      </c>
      <c r="E37" s="524" t="s">
        <v>131</v>
      </c>
    </row>
    <row r="38" spans="1:5" ht="41.4">
      <c r="A38" s="286" t="str">
        <f t="shared" si="0"/>
        <v>Updated August 2019 - Excel adaptation by IQLS August 2019</v>
      </c>
      <c r="B38" s="26" t="s">
        <v>132</v>
      </c>
      <c r="C38" s="26" t="s">
        <v>133</v>
      </c>
      <c r="D38" s="279" t="s">
        <v>134</v>
      </c>
      <c r="E38" s="524" t="s">
        <v>135</v>
      </c>
    </row>
    <row r="39" spans="1:5">
      <c r="A39" s="286" t="str">
        <f t="shared" si="0"/>
        <v xml:space="preserve">Laboratory name </v>
      </c>
      <c r="B39" s="26" t="s">
        <v>136</v>
      </c>
      <c r="C39" s="26" t="s">
        <v>137</v>
      </c>
      <c r="D39" s="279" t="s">
        <v>138</v>
      </c>
      <c r="E39" s="524" t="s">
        <v>139</v>
      </c>
    </row>
    <row r="40" spans="1:5">
      <c r="A40" s="286" t="str">
        <f t="shared" si="0"/>
        <v>Laboratory address</v>
      </c>
      <c r="B40" s="26" t="s">
        <v>140</v>
      </c>
      <c r="C40" s="26" t="s">
        <v>141</v>
      </c>
      <c r="D40" s="279" t="s">
        <v>142</v>
      </c>
      <c r="E40" s="524" t="s">
        <v>143</v>
      </c>
    </row>
    <row r="41" spans="1:5">
      <c r="A41" s="286" t="str">
        <f t="shared" si="0"/>
        <v>City/Province/District</v>
      </c>
      <c r="B41" s="26" t="s">
        <v>144</v>
      </c>
      <c r="C41" s="26" t="s">
        <v>145</v>
      </c>
      <c r="D41" s="279" t="s">
        <v>146</v>
      </c>
      <c r="E41" s="524" t="s">
        <v>147</v>
      </c>
    </row>
    <row r="42" spans="1:5">
      <c r="A42" s="286" t="str">
        <f t="shared" si="0"/>
        <v>Country</v>
      </c>
      <c r="B42" s="26" t="s">
        <v>148</v>
      </c>
      <c r="C42" s="26" t="s">
        <v>149</v>
      </c>
      <c r="D42" s="279" t="s">
        <v>150</v>
      </c>
      <c r="E42" s="524" t="s">
        <v>150</v>
      </c>
    </row>
    <row r="43" spans="1:5">
      <c r="A43" s="286" t="str">
        <f t="shared" si="0"/>
        <v>Date of Assessment</v>
      </c>
      <c r="B43" s="26" t="s">
        <v>151</v>
      </c>
      <c r="C43" s="26" t="s">
        <v>152</v>
      </c>
      <c r="D43" s="279" t="s">
        <v>153</v>
      </c>
      <c r="E43" s="524" t="s">
        <v>154</v>
      </c>
    </row>
    <row r="44" spans="1:5" ht="41.4">
      <c r="A44" s="286" t="str">
        <f t="shared" si="0"/>
        <v>TEST MENU AND ANNUAL CULTURE WORKLOAD</v>
      </c>
      <c r="B44" s="26" t="s">
        <v>155</v>
      </c>
      <c r="C44" s="26" t="s">
        <v>156</v>
      </c>
      <c r="D44" s="164" t="s">
        <v>157</v>
      </c>
      <c r="E44" s="524" t="s">
        <v>158</v>
      </c>
    </row>
    <row r="45" spans="1:5">
      <c r="A45" s="286" t="str">
        <f t="shared" si="0"/>
        <v>Blood Cultures</v>
      </c>
      <c r="B45" s="26" t="s">
        <v>159</v>
      </c>
      <c r="C45" s="26" t="s">
        <v>160</v>
      </c>
      <c r="D45" s="279" t="s">
        <v>161</v>
      </c>
      <c r="E45" s="524" t="s">
        <v>162</v>
      </c>
    </row>
    <row r="46" spans="1:5">
      <c r="A46" s="286" t="str">
        <f t="shared" si="0"/>
        <v>Urine Cultures</v>
      </c>
      <c r="B46" s="26" t="s">
        <v>163</v>
      </c>
      <c r="C46" s="26" t="s">
        <v>164</v>
      </c>
      <c r="D46" s="279" t="s">
        <v>165</v>
      </c>
      <c r="E46" s="524" t="s">
        <v>166</v>
      </c>
    </row>
    <row r="47" spans="1:5">
      <c r="A47" s="286" t="str">
        <f t="shared" si="0"/>
        <v>Stool Cultures</v>
      </c>
      <c r="B47" s="26" t="s">
        <v>167</v>
      </c>
      <c r="C47" s="26" t="s">
        <v>168</v>
      </c>
      <c r="D47" s="279" t="s">
        <v>169</v>
      </c>
      <c r="E47" s="524" t="s">
        <v>170</v>
      </c>
    </row>
    <row r="48" spans="1:5">
      <c r="A48" s="286" t="str">
        <f t="shared" si="0"/>
        <v>Respiratory Cultures (not TB)</v>
      </c>
      <c r="B48" s="26" t="s">
        <v>171</v>
      </c>
      <c r="C48" s="26" t="s">
        <v>172</v>
      </c>
      <c r="D48" s="164" t="s">
        <v>173</v>
      </c>
      <c r="E48" s="524" t="s">
        <v>174</v>
      </c>
    </row>
    <row r="49" spans="1:5">
      <c r="A49" s="286" t="str">
        <f t="shared" si="0"/>
        <v>Wound Cultures</v>
      </c>
      <c r="B49" s="26" t="s">
        <v>175</v>
      </c>
      <c r="C49" s="26" t="s">
        <v>176</v>
      </c>
      <c r="D49" s="164" t="s">
        <v>177</v>
      </c>
      <c r="E49" s="524" t="s">
        <v>178</v>
      </c>
    </row>
    <row r="50" spans="1:5" ht="27.6">
      <c r="A50" s="286" t="str">
        <f t="shared" si="0"/>
        <v>Cerebrospinal Fluid Cultures</v>
      </c>
      <c r="B50" s="26" t="s">
        <v>179</v>
      </c>
      <c r="C50" s="26" t="s">
        <v>180</v>
      </c>
      <c r="D50" s="164" t="s">
        <v>181</v>
      </c>
      <c r="E50" s="524" t="s">
        <v>182</v>
      </c>
    </row>
    <row r="51" spans="1:5">
      <c r="A51" s="286" t="str">
        <f t="shared" si="0"/>
        <v>Sterile Body Fluid Cultures</v>
      </c>
      <c r="B51" s="26" t="s">
        <v>183</v>
      </c>
      <c r="C51" s="26" t="s">
        <v>184</v>
      </c>
      <c r="D51" s="164" t="s">
        <v>185</v>
      </c>
      <c r="E51" s="524" t="s">
        <v>186</v>
      </c>
    </row>
    <row r="52" spans="1:5">
      <c r="A52" s="286" t="str">
        <f t="shared" si="0"/>
        <v>Genital Cultures</v>
      </c>
      <c r="B52" s="26" t="s">
        <v>187</v>
      </c>
      <c r="C52" s="26" t="s">
        <v>188</v>
      </c>
      <c r="D52" s="164" t="s">
        <v>189</v>
      </c>
      <c r="E52" s="524" t="s">
        <v>190</v>
      </c>
    </row>
    <row r="53" spans="1:5">
      <c r="A53" s="286" t="str">
        <f t="shared" si="0"/>
        <v>Anaerobic Cultures</v>
      </c>
      <c r="B53" s="26" t="s">
        <v>191</v>
      </c>
      <c r="C53" s="26" t="s">
        <v>192</v>
      </c>
      <c r="D53" s="164" t="s">
        <v>193</v>
      </c>
      <c r="E53" s="524" t="s">
        <v>194</v>
      </c>
    </row>
    <row r="54" spans="1:5">
      <c r="A54" s="286" t="str">
        <f t="shared" si="0"/>
        <v>Fungal Cultures (Yeast)</v>
      </c>
      <c r="B54" s="26" t="s">
        <v>195</v>
      </c>
      <c r="C54" s="26" t="s">
        <v>196</v>
      </c>
      <c r="D54" s="279" t="s">
        <v>197</v>
      </c>
      <c r="E54" s="524" t="s">
        <v>198</v>
      </c>
    </row>
    <row r="55" spans="1:5">
      <c r="A55" s="286" t="str">
        <f t="shared" si="0"/>
        <v>Fungal Cultures (Mold)</v>
      </c>
      <c r="B55" s="26" t="s">
        <v>199</v>
      </c>
      <c r="C55" s="26" t="s">
        <v>200</v>
      </c>
      <c r="D55" s="279" t="s">
        <v>201</v>
      </c>
      <c r="E55" s="524" t="s">
        <v>202</v>
      </c>
    </row>
    <row r="56" spans="1:5" ht="27.6">
      <c r="A56" s="286" t="str">
        <f t="shared" si="0"/>
        <v>MRSA screen (nares, axilla, groin)</v>
      </c>
      <c r="B56" s="26" t="s">
        <v>203</v>
      </c>
      <c r="C56" s="26" t="s">
        <v>204</v>
      </c>
      <c r="D56" s="164" t="s">
        <v>205</v>
      </c>
      <c r="E56" s="524" t="s">
        <v>206</v>
      </c>
    </row>
    <row r="57" spans="1:5">
      <c r="A57" s="286" t="str">
        <f t="shared" si="0"/>
        <v>VRE screen (rectal swab)</v>
      </c>
      <c r="B57" s="26" t="s">
        <v>207</v>
      </c>
      <c r="C57" s="26" t="s">
        <v>208</v>
      </c>
      <c r="D57" s="164" t="s">
        <v>209</v>
      </c>
      <c r="E57" s="524" t="s">
        <v>210</v>
      </c>
    </row>
    <row r="58" spans="1:5">
      <c r="A58" s="286" t="str">
        <f t="shared" si="0"/>
        <v>CRE screen (rectal swab)</v>
      </c>
      <c r="B58" s="26" t="s">
        <v>211</v>
      </c>
      <c r="C58" s="26" t="s">
        <v>212</v>
      </c>
      <c r="D58" s="164" t="s">
        <v>213</v>
      </c>
      <c r="E58" s="524" t="s">
        <v>214</v>
      </c>
    </row>
    <row r="59" spans="1:5" ht="27.6">
      <c r="A59" s="286" t="str">
        <f t="shared" si="0"/>
        <v>ID and/or AST of isolates referred from other laboratories</v>
      </c>
      <c r="B59" s="26" t="s">
        <v>215</v>
      </c>
      <c r="C59" s="26" t="s">
        <v>216</v>
      </c>
      <c r="D59" s="279" t="s">
        <v>217</v>
      </c>
      <c r="E59" s="524" t="s">
        <v>218</v>
      </c>
    </row>
    <row r="60" spans="1:5">
      <c r="A60" s="286" t="str">
        <f t="shared" si="0"/>
        <v xml:space="preserve">Other cultures of local imoprtance </v>
      </c>
      <c r="B60" s="26" t="s">
        <v>219</v>
      </c>
      <c r="C60" s="350" t="s">
        <v>220</v>
      </c>
      <c r="D60" s="279" t="s">
        <v>221</v>
      </c>
      <c r="E60" s="524" t="s">
        <v>222</v>
      </c>
    </row>
    <row r="61" spans="1:5">
      <c r="A61" s="286" t="str">
        <f t="shared" si="0"/>
        <v>ANNUAL AST WORKLOAD</v>
      </c>
      <c r="B61" s="26" t="s">
        <v>223</v>
      </c>
      <c r="C61" s="26" t="s">
        <v>224</v>
      </c>
      <c r="D61" s="279" t="s">
        <v>225</v>
      </c>
      <c r="E61" s="524" t="s">
        <v>226</v>
      </c>
    </row>
    <row r="62" spans="1:5">
      <c r="A62" s="286" t="str">
        <f t="shared" si="0"/>
        <v>Automated AST instrument</v>
      </c>
      <c r="B62" s="26" t="s">
        <v>227</v>
      </c>
      <c r="C62" s="26" t="s">
        <v>228</v>
      </c>
      <c r="D62" s="279" t="s">
        <v>229</v>
      </c>
      <c r="E62" s="524" t="s">
        <v>230</v>
      </c>
    </row>
    <row r="63" spans="1:5">
      <c r="A63" s="286" t="str">
        <f t="shared" si="0"/>
        <v>Disk diffusion</v>
      </c>
      <c r="B63" s="26" t="s">
        <v>231</v>
      </c>
      <c r="C63" s="26" t="s">
        <v>232</v>
      </c>
      <c r="D63" s="279" t="s">
        <v>233</v>
      </c>
      <c r="E63" s="524" t="s">
        <v>234</v>
      </c>
    </row>
    <row r="64" spans="1:5" ht="27.6">
      <c r="A64" s="286" t="str">
        <f t="shared" si="0"/>
        <v>Gradient Strip (e.g., Etest/Liofilchem)</v>
      </c>
      <c r="B64" s="26" t="s">
        <v>235</v>
      </c>
      <c r="C64" s="26" t="s">
        <v>236</v>
      </c>
      <c r="D64" s="279" t="s">
        <v>237</v>
      </c>
      <c r="E64" s="524" t="s">
        <v>238</v>
      </c>
    </row>
    <row r="65" spans="1:5" ht="27.6">
      <c r="A65" s="286" t="str">
        <f t="shared" si="0"/>
        <v>Broth microdilution (96-well tray)</v>
      </c>
      <c r="B65" s="26" t="s">
        <v>239</v>
      </c>
      <c r="C65" s="26" t="s">
        <v>240</v>
      </c>
      <c r="D65" s="279" t="s">
        <v>241</v>
      </c>
      <c r="E65" s="524" t="s">
        <v>242</v>
      </c>
    </row>
    <row r="66" spans="1:5" ht="27.6">
      <c r="A66" s="286" t="str">
        <f t="shared" si="0"/>
        <v>Broth macrodilultion (tube method)</v>
      </c>
      <c r="B66" s="26" t="s">
        <v>243</v>
      </c>
      <c r="C66" s="26" t="s">
        <v>244</v>
      </c>
      <c r="D66" s="279" t="s">
        <v>245</v>
      </c>
      <c r="E66" s="524" t="s">
        <v>246</v>
      </c>
    </row>
    <row r="67" spans="1:5">
      <c r="A67" s="286" t="str">
        <f t="shared" si="0"/>
        <v>Agar dilution</v>
      </c>
      <c r="B67" s="26" t="s">
        <v>247</v>
      </c>
      <c r="C67" s="26" t="s">
        <v>248</v>
      </c>
      <c r="D67" s="279" t="s">
        <v>249</v>
      </c>
      <c r="E67" s="524" t="s">
        <v>250</v>
      </c>
    </row>
    <row r="68" spans="1:5">
      <c r="A68" s="286" t="str">
        <f t="shared" si="0"/>
        <v>STAFFING</v>
      </c>
      <c r="B68" s="26" t="s">
        <v>251</v>
      </c>
      <c r="C68" s="26" t="s">
        <v>252</v>
      </c>
      <c r="D68" s="279" t="s">
        <v>253</v>
      </c>
      <c r="E68" s="524" t="s">
        <v>254</v>
      </c>
    </row>
    <row r="69" spans="1:5" ht="41.4">
      <c r="A69" s="286" t="str">
        <f t="shared" si="0"/>
        <v>Advanced degree in Med. Microbiology/Med. Lab. (PhD, MD)</v>
      </c>
      <c r="B69" s="26" t="s">
        <v>255</v>
      </c>
      <c r="C69" s="26" t="s">
        <v>256</v>
      </c>
      <c r="D69" s="164" t="s">
        <v>257</v>
      </c>
      <c r="E69" s="524" t="s">
        <v>258</v>
      </c>
    </row>
    <row r="70" spans="1:5" ht="27.6">
      <c r="A70" s="286" t="str">
        <f t="shared" si="0"/>
        <v>Advanced degree, other concentration (PhD, MD)</v>
      </c>
      <c r="B70" s="26" t="s">
        <v>259</v>
      </c>
      <c r="C70" s="26" t="s">
        <v>260</v>
      </c>
      <c r="D70" s="279" t="s">
        <v>261</v>
      </c>
      <c r="E70" s="524" t="s">
        <v>262</v>
      </c>
    </row>
    <row r="71" spans="1:5" ht="27.6">
      <c r="A71" s="286" t="str">
        <f t="shared" si="0"/>
        <v>Postgraduate Master's degree in Microbiology or Med. Lab. Sciences</v>
      </c>
      <c r="B71" s="26" t="s">
        <v>263</v>
      </c>
      <c r="C71" s="26" t="s">
        <v>264</v>
      </c>
      <c r="D71" s="164" t="s">
        <v>265</v>
      </c>
      <c r="E71" s="524" t="s">
        <v>266</v>
      </c>
    </row>
    <row r="72" spans="1:5" ht="27.6">
      <c r="A72" s="286" t="str">
        <f t="shared" si="0"/>
        <v>Postgraduate Master's degree, other concentration</v>
      </c>
      <c r="B72" s="26" t="s">
        <v>267</v>
      </c>
      <c r="C72" s="26" t="s">
        <v>268</v>
      </c>
      <c r="D72" s="164" t="s">
        <v>269</v>
      </c>
      <c r="E72" s="524" t="s">
        <v>270</v>
      </c>
    </row>
    <row r="73" spans="1:5" ht="27.6">
      <c r="A73" s="286" t="str">
        <f t="shared" si="0"/>
        <v>Grad. Bachelor's degree in Microbiology or Med. Lab. Sciences</v>
      </c>
      <c r="B73" s="26" t="s">
        <v>271</v>
      </c>
      <c r="C73" s="26" t="s">
        <v>272</v>
      </c>
      <c r="D73" s="164" t="s">
        <v>273</v>
      </c>
      <c r="E73" s="524" t="s">
        <v>274</v>
      </c>
    </row>
    <row r="74" spans="1:5" ht="27.6">
      <c r="A74" s="286" t="str">
        <f t="shared" si="0"/>
        <v>Graduate Bachelor's degree, other concentration</v>
      </c>
      <c r="B74" s="26" t="s">
        <v>275</v>
      </c>
      <c r="C74" s="26" t="s">
        <v>276</v>
      </c>
      <c r="D74" s="164" t="s">
        <v>277</v>
      </c>
      <c r="E74" s="524" t="s">
        <v>278</v>
      </c>
    </row>
    <row r="75" spans="1:5" ht="41.4">
      <c r="A75" s="286" t="str">
        <f t="shared" si="0"/>
        <v>Undergraduate Certificate/Diploma in Microbiology or Med. Lab. Sciences</v>
      </c>
      <c r="B75" s="26" t="s">
        <v>279</v>
      </c>
      <c r="C75" s="26" t="s">
        <v>280</v>
      </c>
      <c r="D75" s="164" t="s">
        <v>281</v>
      </c>
      <c r="E75" s="524" t="s">
        <v>282</v>
      </c>
    </row>
    <row r="76" spans="1:5" ht="27.6">
      <c r="A76" s="286" t="str">
        <f t="shared" si="0"/>
        <v>Undergraduate Certificate or Diploma, other concentration</v>
      </c>
      <c r="B76" s="26" t="s">
        <v>283</v>
      </c>
      <c r="C76" s="26" t="s">
        <v>284</v>
      </c>
      <c r="D76" s="164" t="s">
        <v>285</v>
      </c>
      <c r="E76" s="524" t="s">
        <v>286</v>
      </c>
    </row>
    <row r="77" spans="1:5" ht="27.6">
      <c r="A77" s="286" t="str">
        <f t="shared" si="0"/>
        <v>High school/Secondary school diploma</v>
      </c>
      <c r="B77" s="26" t="s">
        <v>287</v>
      </c>
      <c r="C77" s="26" t="s">
        <v>288</v>
      </c>
      <c r="D77" s="164" t="s">
        <v>289</v>
      </c>
      <c r="E77" s="524" t="s">
        <v>290</v>
      </c>
    </row>
    <row r="78" spans="1:5" ht="27.6">
      <c r="A78" s="286" t="str">
        <f t="shared" si="0"/>
        <v>On-the-job training only</v>
      </c>
      <c r="B78" s="26" t="s">
        <v>291</v>
      </c>
      <c r="C78" s="350" t="s">
        <v>292</v>
      </c>
      <c r="D78" s="164" t="s">
        <v>293</v>
      </c>
      <c r="E78" s="524" t="s">
        <v>294</v>
      </c>
    </row>
    <row r="79" spans="1:5">
      <c r="A79" s="286" t="str">
        <f t="shared" ref="A79:A143" si="1">IF(langue=1,B79,IF(langue=2,C79,IF(langue=3,D79,IF(langue=4,E79,F79))))</f>
        <v>Other (specify in comments)</v>
      </c>
      <c r="B79" s="26" t="s">
        <v>295</v>
      </c>
      <c r="C79" s="26" t="s">
        <v>296</v>
      </c>
      <c r="D79" s="279" t="s">
        <v>297</v>
      </c>
      <c r="E79" s="524" t="s">
        <v>298</v>
      </c>
    </row>
    <row r="80" spans="1:5" ht="41.4">
      <c r="A80" s="286" t="str">
        <f t="shared" si="1"/>
        <v>Proportion of staff with Med Micro or Med Lab Training</v>
      </c>
      <c r="B80" s="26" t="s">
        <v>299</v>
      </c>
      <c r="C80" s="26" t="s">
        <v>300</v>
      </c>
      <c r="D80" s="164" t="s">
        <v>301</v>
      </c>
      <c r="E80" s="524" t="s">
        <v>302</v>
      </c>
    </row>
    <row r="81" spans="1:5" ht="27.6">
      <c r="A81" s="286" t="str">
        <f t="shared" si="1"/>
        <v>Proportion of staff with Graduate Bachelor's Degree or more</v>
      </c>
      <c r="B81" s="26" t="s">
        <v>303</v>
      </c>
      <c r="C81" s="26" t="s">
        <v>304</v>
      </c>
      <c r="D81" s="164" t="s">
        <v>305</v>
      </c>
      <c r="E81" s="524" t="s">
        <v>306</v>
      </c>
    </row>
    <row r="82" spans="1:5">
      <c r="A82" s="286" t="str">
        <f t="shared" si="1"/>
        <v>Total number of staff members</v>
      </c>
      <c r="B82" s="26" t="s">
        <v>307</v>
      </c>
      <c r="C82" s="392" t="s">
        <v>308</v>
      </c>
      <c r="D82" s="392" t="s">
        <v>309</v>
      </c>
      <c r="E82" s="529" t="s">
        <v>310</v>
      </c>
    </row>
    <row r="83" spans="1:5">
      <c r="A83" s="286" t="str">
        <f t="shared" si="1"/>
        <v>NUMBER OF FLAGS</v>
      </c>
      <c r="B83" s="26" t="s">
        <v>311</v>
      </c>
      <c r="C83" s="26" t="s">
        <v>312</v>
      </c>
      <c r="D83" s="164" t="s">
        <v>313</v>
      </c>
      <c r="E83" s="524" t="s">
        <v>313</v>
      </c>
    </row>
    <row r="84" spans="1:5">
      <c r="A84" s="286" t="str">
        <f t="shared" si="1"/>
        <v>Red Flags</v>
      </c>
      <c r="B84" s="26" t="s">
        <v>314</v>
      </c>
      <c r="C84" s="26" t="s">
        <v>315</v>
      </c>
      <c r="D84" s="164" t="s">
        <v>316</v>
      </c>
      <c r="E84" s="524" t="s">
        <v>317</v>
      </c>
    </row>
    <row r="85" spans="1:5">
      <c r="A85" s="286" t="str">
        <f t="shared" si="1"/>
        <v>Training Opportunities</v>
      </c>
      <c r="B85" s="26" t="s">
        <v>318</v>
      </c>
      <c r="C85" s="26" t="s">
        <v>319</v>
      </c>
      <c r="D85" s="279" t="s">
        <v>320</v>
      </c>
      <c r="E85" s="524" t="s">
        <v>321</v>
      </c>
    </row>
    <row r="86" spans="1:5">
      <c r="A86" s="286" t="str">
        <f t="shared" si="1"/>
        <v>System Flags</v>
      </c>
      <c r="B86" s="26" t="s">
        <v>322</v>
      </c>
      <c r="C86" s="26" t="s">
        <v>323</v>
      </c>
      <c r="D86" s="164" t="s">
        <v>324</v>
      </c>
      <c r="E86" s="524" t="s">
        <v>325</v>
      </c>
    </row>
    <row r="87" spans="1:5">
      <c r="A87" s="286" t="str">
        <f t="shared" si="1"/>
        <v>Overall Score and Module Score Summary</v>
      </c>
      <c r="B87" s="26" t="s">
        <v>326</v>
      </c>
      <c r="C87" s="26" t="s">
        <v>327</v>
      </c>
      <c r="D87" s="164" t="s">
        <v>328</v>
      </c>
      <c r="E87" s="524" t="s">
        <v>329</v>
      </c>
    </row>
    <row r="88" spans="1:5">
      <c r="A88" s="286" t="str">
        <f t="shared" si="1"/>
        <v>FACILITY</v>
      </c>
      <c r="B88" s="26" t="s">
        <v>330</v>
      </c>
      <c r="C88" s="26" t="s">
        <v>331</v>
      </c>
      <c r="D88" s="279" t="s">
        <v>332</v>
      </c>
      <c r="E88" s="524" t="s">
        <v>333</v>
      </c>
    </row>
    <row r="89" spans="1:5" ht="41.4">
      <c r="A89" s="286" t="str">
        <f t="shared" si="1"/>
        <v>2- LAB INFORMATION SYSTEM (Excluded from overall score)</v>
      </c>
      <c r="B89" s="26" t="s">
        <v>334</v>
      </c>
      <c r="C89" s="26" t="s">
        <v>335</v>
      </c>
      <c r="D89" s="279" t="s">
        <v>336</v>
      </c>
      <c r="E89" s="524" t="s">
        <v>337</v>
      </c>
    </row>
    <row r="90" spans="1:5">
      <c r="A90" s="286" t="str">
        <f t="shared" si="1"/>
        <v>DATA MANAGEMENT</v>
      </c>
      <c r="B90" s="26" t="s">
        <v>338</v>
      </c>
      <c r="C90" s="26" t="s">
        <v>339</v>
      </c>
      <c r="D90" s="279" t="s">
        <v>340</v>
      </c>
      <c r="E90" s="524" t="s">
        <v>341</v>
      </c>
    </row>
    <row r="91" spans="1:5">
      <c r="A91" s="286" t="str">
        <f t="shared" si="1"/>
        <v>QUALITY ASSURANCE</v>
      </c>
      <c r="B91" s="26" t="s">
        <v>342</v>
      </c>
      <c r="C91" s="26" t="s">
        <v>343</v>
      </c>
      <c r="D91" s="279" t="s">
        <v>344</v>
      </c>
      <c r="E91" s="524" t="s">
        <v>345</v>
      </c>
    </row>
    <row r="92" spans="1:5" ht="27.6">
      <c r="A92" s="286" t="str">
        <f t="shared" si="1"/>
        <v>MEDIA PREPARATION AND QC</v>
      </c>
      <c r="B92" s="26" t="s">
        <v>346</v>
      </c>
      <c r="C92" s="26" t="s">
        <v>347</v>
      </c>
      <c r="D92" s="279" t="s">
        <v>348</v>
      </c>
      <c r="E92" s="524" t="s">
        <v>349</v>
      </c>
    </row>
    <row r="93" spans="1:5">
      <c r="A93" s="286" t="str">
        <f t="shared" si="1"/>
        <v>ID QC</v>
      </c>
      <c r="B93" s="26" t="s">
        <v>350</v>
      </c>
      <c r="C93" s="26" t="s">
        <v>351</v>
      </c>
      <c r="D93" s="279" t="s">
        <v>352</v>
      </c>
      <c r="E93" s="524" t="s">
        <v>353</v>
      </c>
    </row>
    <row r="94" spans="1:5">
      <c r="A94" s="286" t="str">
        <f t="shared" si="1"/>
        <v>AST QC</v>
      </c>
      <c r="B94" s="26" t="s">
        <v>354</v>
      </c>
      <c r="C94" s="26" t="s">
        <v>355</v>
      </c>
      <c r="D94" s="279" t="s">
        <v>356</v>
      </c>
      <c r="E94" s="524" t="s">
        <v>357</v>
      </c>
    </row>
    <row r="95" spans="1:5" ht="27.6">
      <c r="A95" s="286" t="str">
        <f t="shared" si="1"/>
        <v>SPECIMEN COLLECTION, TRANSPORT &amp; MANAGEMENT</v>
      </c>
      <c r="B95" s="26" t="s">
        <v>358</v>
      </c>
      <c r="C95" s="26" t="s">
        <v>359</v>
      </c>
      <c r="D95" s="279" t="s">
        <v>360</v>
      </c>
      <c r="E95" s="524" t="s">
        <v>361</v>
      </c>
    </row>
    <row r="96" spans="1:5">
      <c r="A96" s="286" t="str">
        <f t="shared" si="1"/>
        <v>PROCESSING</v>
      </c>
      <c r="B96" s="26" t="s">
        <v>362</v>
      </c>
      <c r="C96" s="26" t="s">
        <v>363</v>
      </c>
      <c r="D96" s="164" t="s">
        <v>364</v>
      </c>
      <c r="E96" s="524" t="s">
        <v>365</v>
      </c>
    </row>
    <row r="97" spans="1:5">
      <c r="A97" s="286" t="str">
        <f t="shared" si="1"/>
        <v>IDENTIFICATION</v>
      </c>
      <c r="B97" s="26" t="s">
        <v>366</v>
      </c>
      <c r="C97" s="26" t="s">
        <v>366</v>
      </c>
      <c r="D97" s="279" t="s">
        <v>367</v>
      </c>
      <c r="E97" s="524" t="s">
        <v>368</v>
      </c>
    </row>
    <row r="98" spans="1:5">
      <c r="A98" s="286" t="str">
        <f t="shared" si="1"/>
        <v>BASIC AST</v>
      </c>
      <c r="B98" s="26" t="s">
        <v>369</v>
      </c>
      <c r="C98" s="26" t="s">
        <v>370</v>
      </c>
      <c r="D98" s="164" t="s">
        <v>371</v>
      </c>
      <c r="E98" s="524" t="s">
        <v>372</v>
      </c>
    </row>
    <row r="99" spans="1:5">
      <c r="A99" s="286" t="str">
        <f t="shared" si="1"/>
        <v>AST EXPERT RULES</v>
      </c>
      <c r="B99" s="26" t="s">
        <v>373</v>
      </c>
      <c r="C99" s="26" t="s">
        <v>374</v>
      </c>
      <c r="D99" s="164" t="s">
        <v>375</v>
      </c>
      <c r="E99" s="524" t="s">
        <v>376</v>
      </c>
    </row>
    <row r="100" spans="1:5">
      <c r="A100" s="286" t="str">
        <f t="shared" si="1"/>
        <v>AST PANELS, POLICY AND ANALYSIS</v>
      </c>
      <c r="B100" s="26" t="s">
        <v>377</v>
      </c>
      <c r="C100" s="26" t="s">
        <v>378</v>
      </c>
      <c r="D100" s="164" t="s">
        <v>379</v>
      </c>
      <c r="E100" s="524" t="s">
        <v>380</v>
      </c>
    </row>
    <row r="101" spans="1:5">
      <c r="A101" s="286" t="str">
        <f t="shared" si="1"/>
        <v xml:space="preserve">SAFETY </v>
      </c>
      <c r="B101" s="26" t="s">
        <v>381</v>
      </c>
      <c r="C101" s="26" t="s">
        <v>382</v>
      </c>
      <c r="D101" s="279" t="s">
        <v>383</v>
      </c>
      <c r="E101" s="524" t="s">
        <v>384</v>
      </c>
    </row>
    <row r="102" spans="1:5">
      <c r="A102" s="286" t="str">
        <f t="shared" si="1"/>
        <v>1- FACILITY</v>
      </c>
      <c r="B102" s="26" t="s">
        <v>385</v>
      </c>
      <c r="C102" s="26" t="s">
        <v>386</v>
      </c>
      <c r="D102" s="279" t="s">
        <v>387</v>
      </c>
      <c r="E102" s="524" t="s">
        <v>388</v>
      </c>
    </row>
    <row r="103" spans="1:5">
      <c r="A103" s="286" t="str">
        <f t="shared" si="1"/>
        <v>LABORATORY FACILITY</v>
      </c>
      <c r="B103" s="26" t="s">
        <v>389</v>
      </c>
      <c r="C103" s="26" t="s">
        <v>390</v>
      </c>
      <c r="D103" s="279" t="s">
        <v>391</v>
      </c>
      <c r="E103" s="524" t="s">
        <v>392</v>
      </c>
    </row>
    <row r="104" spans="1:5" ht="27.6">
      <c r="A104" s="286" t="str">
        <f t="shared" si="1"/>
        <v>GENERAL EQUIPMENT AVAILABILITY</v>
      </c>
      <c r="B104" s="26" t="s">
        <v>393</v>
      </c>
      <c r="C104" s="26" t="s">
        <v>394</v>
      </c>
      <c r="D104" s="279" t="s">
        <v>395</v>
      </c>
      <c r="E104" s="524" t="s">
        <v>396</v>
      </c>
    </row>
    <row r="105" spans="1:5" ht="27.6">
      <c r="A105" s="286" t="str">
        <f t="shared" si="1"/>
        <v>MEDIA PREPARATION EQUIPMENT AVAILABILITY</v>
      </c>
      <c r="B105" s="26" t="s">
        <v>397</v>
      </c>
      <c r="C105" s="26" t="s">
        <v>398</v>
      </c>
      <c r="D105" s="279" t="s">
        <v>399</v>
      </c>
      <c r="E105" s="524" t="s">
        <v>400</v>
      </c>
    </row>
    <row r="106" spans="1:5" ht="27.6">
      <c r="A106" s="286" t="str">
        <f t="shared" si="1"/>
        <v>EQUIPMENT CALIBRATION  RECORDS</v>
      </c>
      <c r="B106" s="26" t="s">
        <v>401</v>
      </c>
      <c r="C106" s="26" t="s">
        <v>402</v>
      </c>
      <c r="D106" s="279" t="s">
        <v>403</v>
      </c>
      <c r="E106" s="524" t="s">
        <v>404</v>
      </c>
    </row>
    <row r="107" spans="1:5">
      <c r="A107" s="286" t="str">
        <f t="shared" si="1"/>
        <v>THERMOMETERS</v>
      </c>
      <c r="B107" s="26" t="s">
        <v>405</v>
      </c>
      <c r="C107" s="26" t="s">
        <v>406</v>
      </c>
      <c r="D107" s="279" t="s">
        <v>407</v>
      </c>
      <c r="E107" s="524" t="s">
        <v>408</v>
      </c>
    </row>
    <row r="108" spans="1:5" ht="27.6">
      <c r="A108" s="286" t="str">
        <f t="shared" si="1"/>
        <v>TEMPERATURE AND ATMOSPHERE MONITORING</v>
      </c>
      <c r="B108" s="26" t="s">
        <v>409</v>
      </c>
      <c r="C108" s="26" t="s">
        <v>410</v>
      </c>
      <c r="D108" s="279" t="s">
        <v>411</v>
      </c>
      <c r="E108" s="524" t="s">
        <v>412</v>
      </c>
    </row>
    <row r="109" spans="1:5">
      <c r="A109" s="286" t="str">
        <f t="shared" si="1"/>
        <v>Temperature recorded</v>
      </c>
      <c r="B109" s="26" t="s">
        <v>413</v>
      </c>
      <c r="C109" s="26" t="s">
        <v>414</v>
      </c>
      <c r="D109" s="279" t="s">
        <v>415</v>
      </c>
      <c r="E109" s="524" t="s">
        <v>415</v>
      </c>
    </row>
    <row r="110" spans="1:5">
      <c r="A110" s="286" t="str">
        <f t="shared" si="1"/>
        <v>Ranges defined</v>
      </c>
      <c r="B110" s="26" t="s">
        <v>416</v>
      </c>
      <c r="C110" s="26" t="s">
        <v>417</v>
      </c>
      <c r="D110" s="279" t="s">
        <v>418</v>
      </c>
      <c r="E110" s="524" t="s">
        <v>419</v>
      </c>
    </row>
    <row r="111" spans="1:5">
      <c r="A111" s="286" t="str">
        <f t="shared" si="1"/>
        <v>AUTOCLAVE MANAGEMENT</v>
      </c>
      <c r="B111" s="26" t="s">
        <v>420</v>
      </c>
      <c r="C111" s="26" t="s">
        <v>421</v>
      </c>
      <c r="D111" s="279" t="s">
        <v>422</v>
      </c>
      <c r="E111" s="524" t="s">
        <v>423</v>
      </c>
    </row>
    <row r="112" spans="1:5" ht="27.6">
      <c r="A112" s="286" t="str">
        <f t="shared" si="1"/>
        <v>AUTOMATED EQUIPMENT AVAILABILITY AND MAINTENANCE</v>
      </c>
      <c r="B112" s="26" t="s">
        <v>424</v>
      </c>
      <c r="C112" s="26" t="s">
        <v>425</v>
      </c>
      <c r="D112" s="279" t="s">
        <v>426</v>
      </c>
      <c r="E112" s="524" t="s">
        <v>427</v>
      </c>
    </row>
    <row r="113" spans="1:5">
      <c r="A113" s="286" t="str">
        <f t="shared" si="1"/>
        <v>INVENTORY &amp; STOCK OUTS</v>
      </c>
      <c r="B113" s="26" t="s">
        <v>428</v>
      </c>
      <c r="C113" s="26" t="s">
        <v>429</v>
      </c>
      <c r="D113" s="164" t="s">
        <v>430</v>
      </c>
      <c r="E113" s="524" t="s">
        <v>431</v>
      </c>
    </row>
    <row r="114" spans="1:5" ht="27.6">
      <c r="A114" s="286" t="str">
        <f t="shared" si="1"/>
        <v>2- LAB INFORMATION SYSTEM</v>
      </c>
      <c r="B114" s="26" t="s">
        <v>432</v>
      </c>
      <c r="C114" s="26" t="s">
        <v>433</v>
      </c>
      <c r="D114" s="279" t="s">
        <v>434</v>
      </c>
      <c r="E114" s="524" t="s">
        <v>435</v>
      </c>
    </row>
    <row r="115" spans="1:5" ht="27.6">
      <c r="A115" s="286" t="str">
        <f t="shared" si="1"/>
        <v>DEMOGRAPHIC DATA FIELDS</v>
      </c>
      <c r="B115" s="26" t="s">
        <v>436</v>
      </c>
      <c r="C115" s="26" t="s">
        <v>437</v>
      </c>
      <c r="D115" s="164" t="s">
        <v>438</v>
      </c>
      <c r="E115" s="524" t="s">
        <v>439</v>
      </c>
    </row>
    <row r="116" spans="1:5">
      <c r="A116" s="286" t="str">
        <f t="shared" si="1"/>
        <v>SPECIMEN DATA FIELDS</v>
      </c>
      <c r="B116" s="26" t="s">
        <v>440</v>
      </c>
      <c r="C116" s="26" t="s">
        <v>441</v>
      </c>
      <c r="D116" s="279" t="s">
        <v>442</v>
      </c>
      <c r="E116" s="524" t="s">
        <v>443</v>
      </c>
    </row>
    <row r="117" spans="1:5" ht="27.6">
      <c r="A117" s="286" t="str">
        <f t="shared" si="1"/>
        <v>CULTURE OBSERVATION DATA FIELDS</v>
      </c>
      <c r="B117" s="26" t="s">
        <v>444</v>
      </c>
      <c r="C117" s="26" t="s">
        <v>445</v>
      </c>
      <c r="D117" s="279" t="s">
        <v>446</v>
      </c>
      <c r="E117" s="524" t="s">
        <v>447</v>
      </c>
    </row>
    <row r="118" spans="1:5">
      <c r="A118" s="286" t="str">
        <f t="shared" si="1"/>
        <v>AST DATA FIELDS</v>
      </c>
      <c r="B118" s="26" t="s">
        <v>448</v>
      </c>
      <c r="C118" s="26" t="s">
        <v>449</v>
      </c>
      <c r="D118" s="279" t="s">
        <v>450</v>
      </c>
      <c r="E118" s="524" t="s">
        <v>451</v>
      </c>
    </row>
    <row r="119" spans="1:5" ht="27.6">
      <c r="A119" s="286" t="str">
        <f t="shared" si="1"/>
        <v>REPORTS AND DATA TRANSFER CAPABILITIES</v>
      </c>
      <c r="B119" s="26" t="s">
        <v>452</v>
      </c>
      <c r="C119" s="26" t="s">
        <v>453</v>
      </c>
      <c r="D119" s="164" t="s">
        <v>454</v>
      </c>
      <c r="E119" s="524" t="s">
        <v>455</v>
      </c>
    </row>
    <row r="120" spans="1:5">
      <c r="A120" s="286" t="str">
        <f t="shared" si="1"/>
        <v>INTERFACE CONNECTIVITY</v>
      </c>
      <c r="B120" s="26" t="s">
        <v>456</v>
      </c>
      <c r="C120" s="26" t="s">
        <v>457</v>
      </c>
      <c r="D120" s="279" t="s">
        <v>458</v>
      </c>
      <c r="E120" s="524" t="s">
        <v>459</v>
      </c>
    </row>
    <row r="121" spans="1:5">
      <c r="A121" s="286" t="str">
        <f t="shared" si="1"/>
        <v>3- DATA MANAGEMENT</v>
      </c>
      <c r="B121" s="26" t="s">
        <v>460</v>
      </c>
      <c r="C121" s="26" t="s">
        <v>461</v>
      </c>
      <c r="D121" s="279" t="s">
        <v>462</v>
      </c>
      <c r="E121" s="524" t="s">
        <v>463</v>
      </c>
    </row>
    <row r="122" spans="1:5" ht="27.6">
      <c r="A122" s="286" t="str">
        <f t="shared" si="1"/>
        <v>PATIENT AND SPECIMEN IDENTIFICATION</v>
      </c>
      <c r="B122" s="26" t="s">
        <v>464</v>
      </c>
      <c r="C122" s="26" t="s">
        <v>465</v>
      </c>
      <c r="D122" s="279" t="s">
        <v>466</v>
      </c>
      <c r="E122" s="524" t="s">
        <v>467</v>
      </c>
    </row>
    <row r="123" spans="1:5" ht="27.6">
      <c r="A123" s="286" t="str">
        <f t="shared" si="1"/>
        <v>SPECIMEN REQUISITION FORM</v>
      </c>
      <c r="B123" s="26" t="s">
        <v>468</v>
      </c>
      <c r="C123" s="26" t="s">
        <v>469</v>
      </c>
      <c r="D123" s="279" t="s">
        <v>470</v>
      </c>
      <c r="E123" s="524" t="s">
        <v>471</v>
      </c>
    </row>
    <row r="124" spans="1:5">
      <c r="A124" s="286" t="str">
        <f t="shared" si="1"/>
        <v>ORDER ENTRY</v>
      </c>
      <c r="B124" s="26" t="s">
        <v>472</v>
      </c>
      <c r="C124" s="26" t="s">
        <v>473</v>
      </c>
      <c r="D124" s="164" t="s">
        <v>474</v>
      </c>
      <c r="E124" s="524" t="s">
        <v>475</v>
      </c>
    </row>
    <row r="125" spans="1:5">
      <c r="A125" s="286" t="str">
        <f t="shared" si="1"/>
        <v>CULTURE OBSERVATIONS</v>
      </c>
      <c r="B125" s="26" t="s">
        <v>476</v>
      </c>
      <c r="C125" s="26" t="s">
        <v>477</v>
      </c>
      <c r="D125" s="279" t="s">
        <v>478</v>
      </c>
      <c r="E125" s="524" t="s">
        <v>479</v>
      </c>
    </row>
    <row r="126" spans="1:5">
      <c r="A126" s="286" t="str">
        <f t="shared" si="1"/>
        <v>AST RESULTS REPORTING</v>
      </c>
      <c r="B126" s="26" t="s">
        <v>480</v>
      </c>
      <c r="C126" s="26" t="s">
        <v>481</v>
      </c>
      <c r="D126" s="279" t="s">
        <v>482</v>
      </c>
      <c r="E126" s="524" t="s">
        <v>483</v>
      </c>
    </row>
    <row r="127" spans="1:5" ht="27.6">
      <c r="A127" s="286" t="str">
        <f t="shared" si="1"/>
        <v>DATA BACKUP &amp; SECURITY</v>
      </c>
      <c r="B127" s="26" t="s">
        <v>484</v>
      </c>
      <c r="C127" s="26" t="s">
        <v>485</v>
      </c>
      <c r="D127" s="164" t="s">
        <v>486</v>
      </c>
      <c r="E127" s="524" t="s">
        <v>487</v>
      </c>
    </row>
    <row r="128" spans="1:5">
      <c r="A128" s="286" t="str">
        <f t="shared" si="1"/>
        <v xml:space="preserve">AMR DATA SHARING </v>
      </c>
      <c r="B128" s="26" t="s">
        <v>488</v>
      </c>
      <c r="C128" s="26" t="s">
        <v>489</v>
      </c>
      <c r="D128" s="164" t="s">
        <v>490</v>
      </c>
      <c r="E128" s="524" t="s">
        <v>491</v>
      </c>
    </row>
    <row r="129" spans="1:5">
      <c r="A129" s="286" t="str">
        <f t="shared" si="1"/>
        <v>4- QUALITY ASSURANCE</v>
      </c>
      <c r="B129" s="26" t="s">
        <v>492</v>
      </c>
      <c r="C129" s="26" t="s">
        <v>493</v>
      </c>
      <c r="D129" s="279" t="s">
        <v>494</v>
      </c>
      <c r="E129" s="524" t="s">
        <v>495</v>
      </c>
    </row>
    <row r="130" spans="1:5" ht="27.6">
      <c r="A130" s="286" t="str">
        <f t="shared" si="1"/>
        <v>QUALITY STRUCTURE/BASICS</v>
      </c>
      <c r="B130" s="26" t="s">
        <v>496</v>
      </c>
      <c r="C130" s="26" t="s">
        <v>497</v>
      </c>
      <c r="D130" s="164" t="s">
        <v>498</v>
      </c>
      <c r="E130" s="524" t="s">
        <v>499</v>
      </c>
    </row>
    <row r="131" spans="1:5" ht="41.4">
      <c r="A131" s="286" t="str">
        <f t="shared" si="1"/>
        <v>LABORATORY STAFF EDUCATION/TRAINING/COMPETENCY</v>
      </c>
      <c r="B131" s="26" t="s">
        <v>500</v>
      </c>
      <c r="C131" s="26" t="s">
        <v>501</v>
      </c>
      <c r="D131" s="279" t="s">
        <v>502</v>
      </c>
      <c r="E131" s="524" t="s">
        <v>503</v>
      </c>
    </row>
    <row r="132" spans="1:5" ht="41.4">
      <c r="A132" s="286" t="str">
        <f t="shared" si="1"/>
        <v>TOUBLESHOOTING, PROBLEM SOLVING, AND ROOT CAUSE ANALYSES</v>
      </c>
      <c r="B132" s="26" t="s">
        <v>504</v>
      </c>
      <c r="C132" s="26" t="s">
        <v>505</v>
      </c>
      <c r="D132" s="164" t="s">
        <v>506</v>
      </c>
      <c r="E132" s="524" t="s">
        <v>507</v>
      </c>
    </row>
    <row r="133" spans="1:5" ht="27.6">
      <c r="A133" s="286" t="str">
        <f t="shared" si="1"/>
        <v>EXTERNAL QUALITY ASSESSMENT (EQA)</v>
      </c>
      <c r="B133" s="26" t="s">
        <v>508</v>
      </c>
      <c r="C133" s="26" t="s">
        <v>509</v>
      </c>
      <c r="D133" s="279" t="s">
        <v>510</v>
      </c>
      <c r="E133" s="524" t="s">
        <v>511</v>
      </c>
    </row>
    <row r="134" spans="1:5">
      <c r="A134" s="286" t="str">
        <f t="shared" si="1"/>
        <v xml:space="preserve">5- QUALITY CONTROL - MEDIA </v>
      </c>
      <c r="B134" s="26" t="s">
        <v>512</v>
      </c>
      <c r="C134" s="26" t="s">
        <v>513</v>
      </c>
      <c r="D134" s="279" t="s">
        <v>514</v>
      </c>
      <c r="E134" s="524" t="s">
        <v>515</v>
      </c>
    </row>
    <row r="135" spans="1:5">
      <c r="A135" s="286" t="str">
        <f t="shared" si="1"/>
        <v>MEDIA PREPARATION SOPs</v>
      </c>
      <c r="B135" s="26" t="s">
        <v>516</v>
      </c>
      <c r="C135" s="26" t="s">
        <v>517</v>
      </c>
      <c r="D135" s="164" t="s">
        <v>518</v>
      </c>
      <c r="E135" s="524" t="s">
        <v>519</v>
      </c>
    </row>
    <row r="136" spans="1:5">
      <c r="A136" s="286" t="str">
        <f t="shared" si="1"/>
        <v xml:space="preserve">GENERAL MEDIA PREPARATION </v>
      </c>
      <c r="B136" s="26" t="s">
        <v>520</v>
      </c>
      <c r="C136" s="26" t="s">
        <v>521</v>
      </c>
      <c r="D136" s="279" t="s">
        <v>522</v>
      </c>
      <c r="E136" s="524" t="s">
        <v>523</v>
      </c>
    </row>
    <row r="137" spans="1:5" ht="27.6">
      <c r="A137" s="286" t="str">
        <f t="shared" si="1"/>
        <v xml:space="preserve">DISTILLED/DEIONIZED WATER PREPARATION </v>
      </c>
      <c r="B137" s="26" t="s">
        <v>524</v>
      </c>
      <c r="C137" s="26" t="s">
        <v>525</v>
      </c>
      <c r="D137" s="279" t="s">
        <v>526</v>
      </c>
      <c r="E137" s="524" t="s">
        <v>527</v>
      </c>
    </row>
    <row r="138" spans="1:5">
      <c r="A138" s="286" t="str">
        <f t="shared" si="1"/>
        <v>ROUTINE MEDIA QC</v>
      </c>
      <c r="B138" s="26" t="s">
        <v>528</v>
      </c>
      <c r="C138" s="26" t="s">
        <v>529</v>
      </c>
      <c r="D138" s="164" t="s">
        <v>530</v>
      </c>
      <c r="E138" s="524" t="s">
        <v>531</v>
      </c>
    </row>
    <row r="139" spans="1:5" ht="27.6">
      <c r="A139" s="286" t="str">
        <f t="shared" si="1"/>
        <v>MULLER HINTON MEDIA PREPARATION AND QC</v>
      </c>
      <c r="B139" s="26" t="s">
        <v>532</v>
      </c>
      <c r="C139" s="26" t="s">
        <v>533</v>
      </c>
      <c r="D139" s="279" t="s">
        <v>534</v>
      </c>
      <c r="E139" s="524" t="s">
        <v>535</v>
      </c>
    </row>
    <row r="140" spans="1:5" ht="27.6">
      <c r="A140" s="286" t="str">
        <f t="shared" si="1"/>
        <v>BLOOD CULTURE BOTTLES PREPARATION AND QC</v>
      </c>
      <c r="B140" s="26" t="s">
        <v>536</v>
      </c>
      <c r="C140" s="26" t="s">
        <v>537</v>
      </c>
      <c r="D140" s="279" t="s">
        <v>538</v>
      </c>
      <c r="E140" s="524" t="s">
        <v>539</v>
      </c>
    </row>
    <row r="141" spans="1:5" ht="27.6">
      <c r="A141" s="286" t="str">
        <f t="shared" si="1"/>
        <v>6- QUALITY CONTROL - IDENTIFICATION</v>
      </c>
      <c r="B141" s="26" t="s">
        <v>540</v>
      </c>
      <c r="C141" s="26" t="s">
        <v>541</v>
      </c>
      <c r="D141" s="279" t="s">
        <v>542</v>
      </c>
      <c r="E141" s="524" t="s">
        <v>543</v>
      </c>
    </row>
    <row r="142" spans="1:5" ht="27.6">
      <c r="A142" s="286" t="str">
        <f t="shared" si="1"/>
        <v>GRAM STAIN QC and REAGENT LABELING AND STORAGE</v>
      </c>
      <c r="B142" s="26" t="s">
        <v>544</v>
      </c>
      <c r="C142" s="26" t="s">
        <v>545</v>
      </c>
      <c r="D142" s="164" t="s">
        <v>546</v>
      </c>
      <c r="E142" s="524" t="s">
        <v>547</v>
      </c>
    </row>
    <row r="143" spans="1:5" ht="27.6">
      <c r="A143" s="286" t="str">
        <f t="shared" si="1"/>
        <v>QC OF INDIVIDUAL BIOCHEMICAL METHODS</v>
      </c>
      <c r="B143" s="26" t="s">
        <v>548</v>
      </c>
      <c r="C143" s="26" t="s">
        <v>549</v>
      </c>
      <c r="D143" s="279" t="s">
        <v>550</v>
      </c>
      <c r="E143" s="524" t="s">
        <v>551</v>
      </c>
    </row>
    <row r="144" spans="1:5">
      <c r="A144" s="286" t="str">
        <f t="shared" ref="A144:A207" si="2">IF(langue=1,B144,IF(langue=2,C144,IF(langue=3,D144,IF(langue=4,E144,F144))))</f>
        <v>Positive controls are in use</v>
      </c>
      <c r="B144" s="26" t="s">
        <v>552</v>
      </c>
      <c r="C144" s="26" t="s">
        <v>553</v>
      </c>
      <c r="D144" s="279" t="s">
        <v>554</v>
      </c>
      <c r="E144" s="524" t="s">
        <v>555</v>
      </c>
    </row>
    <row r="145" spans="1:5">
      <c r="A145" s="286" t="str">
        <f t="shared" si="2"/>
        <v>Negative controls are in use</v>
      </c>
      <c r="B145" s="26" t="s">
        <v>556</v>
      </c>
      <c r="C145" s="26" t="s">
        <v>557</v>
      </c>
      <c r="D145" s="279" t="s">
        <v>558</v>
      </c>
      <c r="E145" s="524" t="s">
        <v>559</v>
      </c>
    </row>
    <row r="146" spans="1:5" ht="27.6">
      <c r="A146" s="286" t="str">
        <f t="shared" si="2"/>
        <v>QC is performed on each new batch/lot number</v>
      </c>
      <c r="B146" s="26" t="s">
        <v>560</v>
      </c>
      <c r="C146" s="26" t="s">
        <v>561</v>
      </c>
      <c r="D146" s="164" t="s">
        <v>562</v>
      </c>
      <c r="E146" s="524" t="s">
        <v>563</v>
      </c>
    </row>
    <row r="147" spans="1:5" ht="27.6">
      <c r="A147" s="286" t="str">
        <f t="shared" si="2"/>
        <v>QC is performed using ATCC or ATCC-derivative strains</v>
      </c>
      <c r="B147" s="26" t="s">
        <v>564</v>
      </c>
      <c r="C147" s="26" t="s">
        <v>565</v>
      </c>
      <c r="D147" s="279" t="s">
        <v>566</v>
      </c>
      <c r="E147" s="524" t="s">
        <v>567</v>
      </c>
    </row>
    <row r="148" spans="1:5" ht="27.6">
      <c r="A148" s="286" t="str">
        <f t="shared" si="2"/>
        <v>QC OF ENTERIC SEROLOGY</v>
      </c>
      <c r="B148" s="26" t="s">
        <v>568</v>
      </c>
      <c r="C148" s="350" t="s">
        <v>569</v>
      </c>
      <c r="D148" s="164" t="s">
        <v>570</v>
      </c>
      <c r="E148" s="524" t="s">
        <v>571</v>
      </c>
    </row>
    <row r="149" spans="1:5" ht="41.4">
      <c r="A149" s="286" t="str">
        <f t="shared" si="2"/>
        <v>QC OF COMMERCIAL ID KITS and AUTOMATED ID SYSTEMS</v>
      </c>
      <c r="B149" s="26" t="s">
        <v>572</v>
      </c>
      <c r="C149" s="26" t="s">
        <v>573</v>
      </c>
      <c r="D149" s="279" t="s">
        <v>574</v>
      </c>
      <c r="E149" s="524" t="s">
        <v>575</v>
      </c>
    </row>
    <row r="150" spans="1:5">
      <c r="A150" s="286" t="str">
        <f t="shared" si="2"/>
        <v>7- QUALITY CONTROL - AST</v>
      </c>
      <c r="B150" s="26" t="s">
        <v>576</v>
      </c>
      <c r="C150" s="26" t="s">
        <v>577</v>
      </c>
      <c r="D150" s="279" t="s">
        <v>578</v>
      </c>
      <c r="E150" s="524" t="s">
        <v>579</v>
      </c>
    </row>
    <row r="151" spans="1:5" ht="27.6">
      <c r="A151" s="286" t="str">
        <f t="shared" si="2"/>
        <v>ROUTINE AST REFERENCE STRAINS</v>
      </c>
      <c r="B151" s="26" t="s">
        <v>580</v>
      </c>
      <c r="C151" s="26" t="s">
        <v>581</v>
      </c>
      <c r="D151" s="279" t="s">
        <v>582</v>
      </c>
      <c r="E151" s="524" t="s">
        <v>583</v>
      </c>
    </row>
    <row r="152" spans="1:5" ht="27.6">
      <c r="A152" s="286" t="str">
        <f t="shared" si="2"/>
        <v>SPECIAL AST REFERENCE STRAINS</v>
      </c>
      <c r="B152" s="26" t="s">
        <v>584</v>
      </c>
      <c r="C152" s="26" t="s">
        <v>585</v>
      </c>
      <c r="D152" s="164" t="s">
        <v>586</v>
      </c>
      <c r="E152" s="524" t="s">
        <v>587</v>
      </c>
    </row>
    <row r="153" spans="1:5" ht="27.6">
      <c r="A153" s="286" t="str">
        <f t="shared" si="2"/>
        <v>QC OF DISC DIFFUSION AST METHODS</v>
      </c>
      <c r="B153" s="26" t="s">
        <v>588</v>
      </c>
      <c r="C153" s="26" t="s">
        <v>589</v>
      </c>
      <c r="D153" s="279" t="s">
        <v>590</v>
      </c>
      <c r="E153" s="524" t="s">
        <v>591</v>
      </c>
    </row>
    <row r="154" spans="1:5" ht="27.6">
      <c r="A154" s="286" t="str">
        <f t="shared" si="2"/>
        <v>QC OF GRADIENT STRIP AST METHODS</v>
      </c>
      <c r="B154" s="26" t="s">
        <v>592</v>
      </c>
      <c r="C154" s="26" t="s">
        <v>593</v>
      </c>
      <c r="D154" s="279" t="s">
        <v>594</v>
      </c>
      <c r="E154" s="524" t="s">
        <v>595</v>
      </c>
    </row>
    <row r="155" spans="1:5" ht="27.6">
      <c r="A155" s="286" t="str">
        <f t="shared" si="2"/>
        <v>QC OF AUTOMATED AST SYSTEMS</v>
      </c>
      <c r="B155" s="26" t="s">
        <v>596</v>
      </c>
      <c r="C155" s="26" t="s">
        <v>597</v>
      </c>
      <c r="D155" s="164" t="s">
        <v>598</v>
      </c>
      <c r="E155" s="524" t="s">
        <v>599</v>
      </c>
    </row>
    <row r="156" spans="1:5" ht="27.6">
      <c r="A156" s="286" t="str">
        <f t="shared" si="2"/>
        <v>8- SPECIMEN COLLECTION, TRANSPORT &amp; MANAGEMENT</v>
      </c>
      <c r="B156" s="26" t="s">
        <v>600</v>
      </c>
      <c r="C156" s="26" t="s">
        <v>601</v>
      </c>
      <c r="D156" s="279" t="s">
        <v>602</v>
      </c>
      <c r="E156" s="524" t="s">
        <v>603</v>
      </c>
    </row>
    <row r="157" spans="1:5">
      <c r="A157" s="286" t="str">
        <f t="shared" si="2"/>
        <v>SPECIMEN MANAGEMENT</v>
      </c>
      <c r="B157" s="26" t="s">
        <v>604</v>
      </c>
      <c r="C157" s="26" t="s">
        <v>605</v>
      </c>
      <c r="D157" s="279" t="s">
        <v>606</v>
      </c>
      <c r="E157" s="524" t="s">
        <v>607</v>
      </c>
    </row>
    <row r="158" spans="1:5">
      <c r="A158" s="286" t="str">
        <f t="shared" si="2"/>
        <v>SPECIMEN REJECTION</v>
      </c>
      <c r="B158" s="26" t="s">
        <v>608</v>
      </c>
      <c r="C158" s="26" t="s">
        <v>609</v>
      </c>
      <c r="D158" s="279" t="s">
        <v>610</v>
      </c>
      <c r="E158" s="524" t="s">
        <v>611</v>
      </c>
    </row>
    <row r="159" spans="1:5" ht="27.6">
      <c r="A159" s="286" t="str">
        <f t="shared" si="2"/>
        <v>BLOOD SPECIMEN COLLECTION and TRANSPORT</v>
      </c>
      <c r="B159" s="26" t="s">
        <v>612</v>
      </c>
      <c r="C159" s="26" t="s">
        <v>613</v>
      </c>
      <c r="D159" s="279" t="s">
        <v>614</v>
      </c>
      <c r="E159" s="524" t="s">
        <v>615</v>
      </c>
    </row>
    <row r="160" spans="1:5" ht="27.6">
      <c r="A160" s="286" t="str">
        <f t="shared" si="2"/>
        <v>URINE SPECIMEN COLLECTION and TRANSPORT</v>
      </c>
      <c r="B160" s="26" t="s">
        <v>616</v>
      </c>
      <c r="C160" s="26" t="s">
        <v>617</v>
      </c>
      <c r="D160" s="279" t="s">
        <v>618</v>
      </c>
      <c r="E160" s="524" t="s">
        <v>619</v>
      </c>
    </row>
    <row r="161" spans="1:5" ht="27.6">
      <c r="A161" s="286" t="str">
        <f t="shared" si="2"/>
        <v>STOOL SPECIMEN COLLECTION and TRANSPORT</v>
      </c>
      <c r="B161" s="26" t="s">
        <v>620</v>
      </c>
      <c r="C161" s="26" t="s">
        <v>621</v>
      </c>
      <c r="D161" s="279" t="s">
        <v>622</v>
      </c>
      <c r="E161" s="524" t="s">
        <v>623</v>
      </c>
    </row>
    <row r="162" spans="1:5">
      <c r="A162" s="286" t="str">
        <f t="shared" si="2"/>
        <v>9- PROCESSING</v>
      </c>
      <c r="B162" s="26" t="s">
        <v>624</v>
      </c>
      <c r="C162" s="26" t="s">
        <v>625</v>
      </c>
      <c r="D162" s="279" t="s">
        <v>626</v>
      </c>
      <c r="E162" s="524" t="s">
        <v>627</v>
      </c>
    </row>
    <row r="163" spans="1:5">
      <c r="A163" s="286" t="str">
        <f t="shared" si="2"/>
        <v>BLOOD CULTURE PROCESSING</v>
      </c>
      <c r="B163" s="26" t="s">
        <v>628</v>
      </c>
      <c r="C163" s="26" t="s">
        <v>629</v>
      </c>
      <c r="D163" s="279" t="s">
        <v>630</v>
      </c>
      <c r="E163" s="524" t="s">
        <v>631</v>
      </c>
    </row>
    <row r="164" spans="1:5" ht="27.6">
      <c r="A164" s="286" t="str">
        <f t="shared" si="2"/>
        <v>MANUAL BLOOD CULTURE SYSTEMS</v>
      </c>
      <c r="B164" s="26" t="s">
        <v>632</v>
      </c>
      <c r="C164" s="26" t="s">
        <v>633</v>
      </c>
      <c r="D164" s="279" t="s">
        <v>634</v>
      </c>
      <c r="E164" s="524" t="s">
        <v>635</v>
      </c>
    </row>
    <row r="165" spans="1:5">
      <c r="A165" s="286" t="str">
        <f t="shared" si="2"/>
        <v>URINE CULTURE</v>
      </c>
      <c r="B165" s="26" t="s">
        <v>636</v>
      </c>
      <c r="C165" s="26" t="s">
        <v>637</v>
      </c>
      <c r="D165" s="279" t="s">
        <v>638</v>
      </c>
      <c r="E165" s="524" t="s">
        <v>639</v>
      </c>
    </row>
    <row r="166" spans="1:5" ht="27.6">
      <c r="A166" s="286" t="str">
        <f t="shared" si="2"/>
        <v>STOOL CULTURE for Salmonella and Shigella</v>
      </c>
      <c r="B166" s="26" t="s">
        <v>640</v>
      </c>
      <c r="C166" s="26" t="s">
        <v>641</v>
      </c>
      <c r="D166" s="279" t="s">
        <v>642</v>
      </c>
      <c r="E166" s="524" t="s">
        <v>643</v>
      </c>
    </row>
    <row r="167" spans="1:5">
      <c r="A167" s="286" t="str">
        <f t="shared" si="2"/>
        <v>10- IDENTIFICATION METHODS &amp; SOPs</v>
      </c>
      <c r="B167" s="26" t="s">
        <v>644</v>
      </c>
      <c r="C167" s="26" t="s">
        <v>645</v>
      </c>
      <c r="D167" s="279" t="s">
        <v>646</v>
      </c>
      <c r="E167" s="524" t="s">
        <v>647</v>
      </c>
    </row>
    <row r="168" spans="1:5" ht="41.4">
      <c r="A168" s="286" t="str">
        <f t="shared" si="2"/>
        <v>CONVENTIONAL ID METHODS - SOP SCORE SUMMARY</v>
      </c>
      <c r="B168" s="26" t="s">
        <v>648</v>
      </c>
      <c r="C168" s="26" t="s">
        <v>649</v>
      </c>
      <c r="D168" s="279" t="s">
        <v>650</v>
      </c>
      <c r="E168" s="524" t="s">
        <v>651</v>
      </c>
    </row>
    <row r="169" spans="1:5" ht="27.6">
      <c r="A169" s="286" t="str">
        <f t="shared" si="2"/>
        <v>Fully implemented*, up-to-date SOP</v>
      </c>
      <c r="B169" s="26" t="s">
        <v>652</v>
      </c>
      <c r="C169" s="26" t="s">
        <v>653</v>
      </c>
      <c r="D169" s="279" t="s">
        <v>654</v>
      </c>
      <c r="E169" s="524" t="s">
        <v>655</v>
      </c>
    </row>
    <row r="170" spans="1:5" ht="27.6">
      <c r="A170" s="286" t="str">
        <f t="shared" si="2"/>
        <v>SOP is readily available** to bench staff</v>
      </c>
      <c r="B170" s="26" t="s">
        <v>656</v>
      </c>
      <c r="C170" s="26" t="s">
        <v>657</v>
      </c>
      <c r="D170" s="164" t="s">
        <v>658</v>
      </c>
      <c r="E170" s="524" t="s">
        <v>659</v>
      </c>
    </row>
    <row r="171" spans="1:5" ht="13.95" customHeight="1">
      <c r="A171" s="286" t="str">
        <f t="shared" si="2"/>
        <v>SOP defines QC organisms, frequency, and expected results</v>
      </c>
      <c r="B171" s="26" t="s">
        <v>660</v>
      </c>
      <c r="C171" s="26" t="s">
        <v>661</v>
      </c>
      <c r="D171" s="279" t="s">
        <v>662</v>
      </c>
      <c r="E171" s="524" t="s">
        <v>663</v>
      </c>
    </row>
    <row r="172" spans="1:5" ht="27.6">
      <c r="A172" s="286" t="str">
        <f t="shared" si="2"/>
        <v>SOP provides stepwise instructions for test performance</v>
      </c>
      <c r="B172" s="26" t="s">
        <v>664</v>
      </c>
      <c r="C172" s="26" t="s">
        <v>665</v>
      </c>
      <c r="D172" s="279" t="s">
        <v>666</v>
      </c>
      <c r="E172" s="524" t="s">
        <v>667</v>
      </c>
    </row>
    <row r="173" spans="1:5" ht="41.4">
      <c r="A173" s="286" t="str">
        <f t="shared" si="2"/>
        <v>SOP provides stepwise instructions for test interpretation</v>
      </c>
      <c r="B173" s="26" t="s">
        <v>668</v>
      </c>
      <c r="C173" s="26" t="s">
        <v>669</v>
      </c>
      <c r="D173" s="279" t="s">
        <v>670</v>
      </c>
      <c r="E173" s="524" t="s">
        <v>671</v>
      </c>
    </row>
    <row r="174" spans="1:5" ht="27.6">
      <c r="A174" s="286" t="str">
        <f t="shared" si="2"/>
        <v>STAPHYLOCOCCUS AUREUS, KEY ID METHODS</v>
      </c>
      <c r="B174" s="26" t="s">
        <v>672</v>
      </c>
      <c r="C174" s="26" t="s">
        <v>673</v>
      </c>
      <c r="D174" s="164" t="s">
        <v>674</v>
      </c>
      <c r="E174" s="524" t="s">
        <v>675</v>
      </c>
    </row>
    <row r="175" spans="1:5" ht="27.6">
      <c r="A175" s="286" t="str">
        <f t="shared" si="2"/>
        <v>STAPHYLOCOCCUS AUREUS, OTHER ID METHODS</v>
      </c>
      <c r="B175" s="26" t="s">
        <v>676</v>
      </c>
      <c r="C175" s="26" t="s">
        <v>677</v>
      </c>
      <c r="D175" s="279" t="s">
        <v>678</v>
      </c>
      <c r="E175" s="524" t="s">
        <v>679</v>
      </c>
    </row>
    <row r="176" spans="1:5" ht="41.4">
      <c r="A176" s="286" t="str">
        <f t="shared" si="2"/>
        <v>STREPTOCOCCUS PNEUMONIAE, CONVENTIONAL ID METHODS</v>
      </c>
      <c r="B176" s="26" t="s">
        <v>680</v>
      </c>
      <c r="C176" s="26" t="s">
        <v>681</v>
      </c>
      <c r="D176" s="279" t="s">
        <v>682</v>
      </c>
      <c r="E176" s="524" t="s">
        <v>683</v>
      </c>
    </row>
    <row r="177" spans="1:5" ht="27.6">
      <c r="A177" s="286" t="str">
        <f t="shared" si="2"/>
        <v>ENTEROBACTERIACEAE, CONVENTIONAL ID METHODS</v>
      </c>
      <c r="B177" s="26" t="s">
        <v>684</v>
      </c>
      <c r="C177" s="26" t="s">
        <v>685</v>
      </c>
      <c r="D177" s="279" t="s">
        <v>686</v>
      </c>
      <c r="E177" s="524" t="s">
        <v>687</v>
      </c>
    </row>
    <row r="178" spans="1:5" ht="27.6">
      <c r="A178" s="286" t="str">
        <f t="shared" si="2"/>
        <v>SHIGELLA/SALMONELLA SEROLOGY</v>
      </c>
      <c r="B178" s="26" t="s">
        <v>688</v>
      </c>
      <c r="C178" s="26" t="s">
        <v>689</v>
      </c>
      <c r="D178" s="279" t="s">
        <v>690</v>
      </c>
      <c r="E178" s="524" t="s">
        <v>691</v>
      </c>
    </row>
    <row r="179" spans="1:5" ht="27.6">
      <c r="A179" s="286" t="str">
        <f t="shared" si="2"/>
        <v>ACINETOBACTER SPP, CONVENTIONAL ID METHODS</v>
      </c>
      <c r="B179" s="26" t="s">
        <v>692</v>
      </c>
      <c r="C179" s="26" t="s">
        <v>693</v>
      </c>
      <c r="D179" s="279" t="s">
        <v>694</v>
      </c>
      <c r="E179" s="524" t="s">
        <v>695</v>
      </c>
    </row>
    <row r="180" spans="1:5" ht="27.6">
      <c r="A180" s="286" t="str">
        <f t="shared" si="2"/>
        <v>KIT-BASED ID METHODS</v>
      </c>
      <c r="B180" s="26" t="s">
        <v>696</v>
      </c>
      <c r="C180" s="26" t="s">
        <v>697</v>
      </c>
      <c r="D180" s="279" t="s">
        <v>698</v>
      </c>
      <c r="E180" s="524" t="s">
        <v>699</v>
      </c>
    </row>
    <row r="181" spans="1:5" ht="27.6">
      <c r="A181" s="286" t="str">
        <f t="shared" si="2"/>
        <v>AUTOMATED ID METHODS</v>
      </c>
      <c r="B181" s="26" t="s">
        <v>700</v>
      </c>
      <c r="C181" s="26" t="s">
        <v>701</v>
      </c>
      <c r="D181" s="279" t="s">
        <v>702</v>
      </c>
      <c r="E181" s="524" t="s">
        <v>703</v>
      </c>
    </row>
    <row r="182" spans="1:5">
      <c r="A182" s="286" t="str">
        <f t="shared" si="2"/>
        <v>IDENTIFICATION FLOWCHARTS</v>
      </c>
      <c r="B182" s="26" t="s">
        <v>704</v>
      </c>
      <c r="C182" s="26" t="s">
        <v>705</v>
      </c>
      <c r="D182" s="279" t="s">
        <v>706</v>
      </c>
      <c r="E182" s="524" t="s">
        <v>707</v>
      </c>
    </row>
    <row r="183" spans="1:5">
      <c r="A183" s="286" t="str">
        <f t="shared" si="2"/>
        <v>11- BASIC AST</v>
      </c>
      <c r="B183" s="26" t="s">
        <v>708</v>
      </c>
      <c r="C183" s="350" t="s">
        <v>709</v>
      </c>
      <c r="D183" s="164" t="s">
        <v>710</v>
      </c>
      <c r="E183" s="524" t="s">
        <v>711</v>
      </c>
    </row>
    <row r="184" spans="1:5" ht="41.4">
      <c r="A184" s="286" t="str">
        <f t="shared" si="2"/>
        <v>ANTIBIOTIC DISK AND GRADIENT STRIPS MAINTENANCE</v>
      </c>
      <c r="B184" s="26" t="s">
        <v>712</v>
      </c>
      <c r="C184" s="26" t="s">
        <v>713</v>
      </c>
      <c r="D184" s="279" t="s">
        <v>714</v>
      </c>
      <c r="E184" s="524" t="s">
        <v>715</v>
      </c>
    </row>
    <row r="185" spans="1:5">
      <c r="A185" s="286" t="str">
        <f t="shared" si="2"/>
        <v>INOCULUM PREPARATION</v>
      </c>
      <c r="B185" s="26" t="s">
        <v>716</v>
      </c>
      <c r="C185" s="26" t="s">
        <v>717</v>
      </c>
      <c r="D185" s="279" t="s">
        <v>718</v>
      </c>
      <c r="E185" s="524" t="s">
        <v>719</v>
      </c>
    </row>
    <row r="186" spans="1:5">
      <c r="A186" s="286" t="str">
        <f t="shared" si="2"/>
        <v>INOCULATION/INCUBATION</v>
      </c>
      <c r="B186" s="26" t="s">
        <v>720</v>
      </c>
      <c r="C186" s="26" t="s">
        <v>721</v>
      </c>
      <c r="D186" s="279" t="s">
        <v>722</v>
      </c>
      <c r="E186" s="524" t="s">
        <v>723</v>
      </c>
    </row>
    <row r="187" spans="1:5">
      <c r="A187" s="286" t="str">
        <f t="shared" si="2"/>
        <v>READING AST RESULTS</v>
      </c>
      <c r="B187" s="26" t="s">
        <v>724</v>
      </c>
      <c r="C187" s="26" t="s">
        <v>725</v>
      </c>
      <c r="D187" s="164" t="s">
        <v>726</v>
      </c>
      <c r="E187" s="524" t="s">
        <v>727</v>
      </c>
    </row>
    <row r="188" spans="1:5">
      <c r="A188" s="286" t="str">
        <f t="shared" si="2"/>
        <v>INTERPRETING RESULTS</v>
      </c>
      <c r="B188" s="26" t="s">
        <v>728</v>
      </c>
      <c r="C188" s="26" t="s">
        <v>729</v>
      </c>
      <c r="D188" s="164" t="s">
        <v>730</v>
      </c>
      <c r="E188" s="524" t="s">
        <v>731</v>
      </c>
    </row>
    <row r="189" spans="1:5" ht="27.6">
      <c r="A189" s="286" t="str">
        <f t="shared" si="2"/>
        <v>BREAKPOINTS STANDARDS</v>
      </c>
      <c r="B189" s="26" t="s">
        <v>732</v>
      </c>
      <c r="C189" s="26" t="s">
        <v>733</v>
      </c>
      <c r="D189" s="164" t="s">
        <v>734</v>
      </c>
      <c r="E189" s="524" t="s">
        <v>735</v>
      </c>
    </row>
    <row r="190" spans="1:5">
      <c r="A190" s="286" t="str">
        <f t="shared" si="2"/>
        <v>12- AST EXPERT RULES</v>
      </c>
      <c r="B190" s="26" t="s">
        <v>736</v>
      </c>
      <c r="C190" s="26" t="s">
        <v>737</v>
      </c>
      <c r="D190" s="164" t="s">
        <v>738</v>
      </c>
      <c r="E190" s="524" t="s">
        <v>739</v>
      </c>
    </row>
    <row r="191" spans="1:5" ht="27.6">
      <c r="A191" s="286" t="str">
        <f t="shared" si="2"/>
        <v>EXPERT RULES FOR SALMONELLA</v>
      </c>
      <c r="B191" s="26" t="s">
        <v>740</v>
      </c>
      <c r="C191" s="26" t="s">
        <v>741</v>
      </c>
      <c r="D191" s="164" t="s">
        <v>742</v>
      </c>
      <c r="E191" s="524" t="s">
        <v>743</v>
      </c>
    </row>
    <row r="192" spans="1:5" ht="27.6">
      <c r="A192" s="286" t="str">
        <f t="shared" si="2"/>
        <v>GRAM NEGATIVES &amp; BETA-LACTAM BREAKPOINTS</v>
      </c>
      <c r="B192" s="26" t="s">
        <v>744</v>
      </c>
      <c r="C192" s="26" t="s">
        <v>745</v>
      </c>
      <c r="D192" s="164" t="s">
        <v>746</v>
      </c>
      <c r="E192" s="524" t="s">
        <v>747</v>
      </c>
    </row>
    <row r="193" spans="1:5" ht="27.6">
      <c r="A193" s="286" t="str">
        <f t="shared" si="2"/>
        <v>PHENOTYPIC ESBL TESTING</v>
      </c>
      <c r="B193" s="26" t="s">
        <v>748</v>
      </c>
      <c r="C193" s="26" t="s">
        <v>749</v>
      </c>
      <c r="D193" s="279" t="s">
        <v>750</v>
      </c>
      <c r="E193" s="524" t="s">
        <v>751</v>
      </c>
    </row>
    <row r="194" spans="1:5" ht="27.6">
      <c r="A194" s="286" t="str">
        <f t="shared" si="2"/>
        <v>PHENOTYPIC CARBAPENEMASE TESTING</v>
      </c>
      <c r="B194" s="26" t="s">
        <v>752</v>
      </c>
      <c r="C194" s="26" t="s">
        <v>753</v>
      </c>
      <c r="D194" s="279" t="s">
        <v>754</v>
      </c>
      <c r="E194" s="524" t="s">
        <v>755</v>
      </c>
    </row>
    <row r="195" spans="1:5">
      <c r="A195" s="286" t="str">
        <f t="shared" si="2"/>
        <v>COLISTIN TESTING</v>
      </c>
      <c r="B195" s="26" t="s">
        <v>756</v>
      </c>
      <c r="C195" s="26" t="s">
        <v>757</v>
      </c>
      <c r="D195" s="164" t="s">
        <v>758</v>
      </c>
      <c r="E195" s="524" t="s">
        <v>759</v>
      </c>
    </row>
    <row r="196" spans="1:5" ht="27.6">
      <c r="A196" s="286" t="str">
        <f t="shared" si="2"/>
        <v>EXPERT RULES FOR STAPH AUREUS</v>
      </c>
      <c r="B196" s="26" t="s">
        <v>760</v>
      </c>
      <c r="C196" s="26" t="s">
        <v>761</v>
      </c>
      <c r="D196" s="164" t="s">
        <v>762</v>
      </c>
      <c r="E196" s="524" t="s">
        <v>763</v>
      </c>
    </row>
    <row r="197" spans="1:5" ht="27.6">
      <c r="A197" s="286" t="str">
        <f t="shared" si="2"/>
        <v>GENERAL CONSIDERATIONS FOR STREP PNEUMONIAE</v>
      </c>
      <c r="B197" s="26" t="s">
        <v>764</v>
      </c>
      <c r="C197" s="26" t="s">
        <v>765</v>
      </c>
      <c r="D197" s="279" t="s">
        <v>766</v>
      </c>
      <c r="E197" s="524" t="s">
        <v>767</v>
      </c>
    </row>
    <row r="198" spans="1:5" ht="27.6">
      <c r="A198" s="286" t="str">
        <f t="shared" si="2"/>
        <v>EXPERT RULES FOR STREP PNEUMONIAE</v>
      </c>
      <c r="B198" s="26" t="s">
        <v>768</v>
      </c>
      <c r="C198" s="26" t="s">
        <v>769</v>
      </c>
      <c r="D198" s="164" t="s">
        <v>770</v>
      </c>
      <c r="E198" s="524" t="s">
        <v>771</v>
      </c>
    </row>
    <row r="199" spans="1:5" ht="27.6">
      <c r="A199" s="286" t="str">
        <f t="shared" si="2"/>
        <v>INDUCIBLE CLINDAMYCIN RESISTANCE TESTING</v>
      </c>
      <c r="B199" s="26" t="s">
        <v>772</v>
      </c>
      <c r="C199" s="26" t="s">
        <v>773</v>
      </c>
      <c r="D199" s="279" t="s">
        <v>774</v>
      </c>
      <c r="E199" s="524" t="s">
        <v>775</v>
      </c>
    </row>
    <row r="200" spans="1:5" ht="27.6">
      <c r="A200" s="286" t="str">
        <f t="shared" si="2"/>
        <v>EXPERT RULES FOR CEREBROSPINAL FLUID</v>
      </c>
      <c r="B200" s="26" t="s">
        <v>776</v>
      </c>
      <c r="C200" s="26" t="s">
        <v>777</v>
      </c>
      <c r="D200" s="279" t="s">
        <v>778</v>
      </c>
      <c r="E200" s="524" t="s">
        <v>779</v>
      </c>
    </row>
    <row r="201" spans="1:5" ht="27.6">
      <c r="A201" s="286" t="str">
        <f t="shared" si="2"/>
        <v>13- AST PANELS, POLICY AND ANALYSIS</v>
      </c>
      <c r="B201" s="26" t="s">
        <v>780</v>
      </c>
      <c r="C201" s="26" t="s">
        <v>781</v>
      </c>
      <c r="D201" s="279" t="s">
        <v>782</v>
      </c>
      <c r="E201" s="524" t="s">
        <v>783</v>
      </c>
    </row>
    <row r="202" spans="1:5">
      <c r="A202" s="286" t="str">
        <f t="shared" si="2"/>
        <v>AST PANELS</v>
      </c>
      <c r="B202" s="26" t="s">
        <v>784</v>
      </c>
      <c r="C202" s="26" t="s">
        <v>785</v>
      </c>
      <c r="D202" s="279" t="s">
        <v>786</v>
      </c>
      <c r="E202" s="524" t="s">
        <v>787</v>
      </c>
    </row>
    <row r="203" spans="1:5" ht="27.6">
      <c r="A203" s="286" t="str">
        <f t="shared" si="2"/>
        <v>CUMULATIVE ANTIBIOGRAMS</v>
      </c>
      <c r="B203" s="26" t="s">
        <v>788</v>
      </c>
      <c r="C203" s="26" t="s">
        <v>789</v>
      </c>
      <c r="D203" s="164" t="s">
        <v>790</v>
      </c>
      <c r="E203" s="524" t="s">
        <v>791</v>
      </c>
    </row>
    <row r="204" spans="1:5">
      <c r="A204" s="286" t="str">
        <f t="shared" si="2"/>
        <v>AST PANEL POLICY</v>
      </c>
      <c r="B204" s="26" t="s">
        <v>792</v>
      </c>
      <c r="C204" s="26" t="s">
        <v>793</v>
      </c>
      <c r="D204" s="164" t="s">
        <v>794</v>
      </c>
      <c r="E204" s="524" t="s">
        <v>795</v>
      </c>
    </row>
    <row r="205" spans="1:5">
      <c r="A205" s="286" t="str">
        <f t="shared" si="2"/>
        <v>SAFETY</v>
      </c>
      <c r="B205" s="26" t="s">
        <v>796</v>
      </c>
      <c r="C205" s="26" t="s">
        <v>382</v>
      </c>
      <c r="D205" s="279" t="s">
        <v>383</v>
      </c>
      <c r="E205" s="524" t="s">
        <v>384</v>
      </c>
    </row>
    <row r="206" spans="1:5">
      <c r="A206" s="286" t="str">
        <f t="shared" si="2"/>
        <v>BIOSAFETY EQUIPMENT</v>
      </c>
      <c r="B206" s="26" t="s">
        <v>797</v>
      </c>
      <c r="C206" s="26" t="s">
        <v>798</v>
      </c>
      <c r="D206" s="279" t="s">
        <v>799</v>
      </c>
      <c r="E206" s="524" t="s">
        <v>800</v>
      </c>
    </row>
    <row r="207" spans="1:5">
      <c r="A207" s="286" t="str">
        <f t="shared" si="2"/>
        <v>BIOSAFETY BEHAVIORS</v>
      </c>
      <c r="B207" s="26" t="s">
        <v>801</v>
      </c>
      <c r="C207" s="26" t="s">
        <v>802</v>
      </c>
      <c r="D207" s="279" t="s">
        <v>803</v>
      </c>
      <c r="E207" s="524" t="s">
        <v>804</v>
      </c>
    </row>
    <row r="208" spans="1:5" ht="27.6">
      <c r="A208" s="286" t="str">
        <f t="shared" ref="A208:A274" si="3">IF(langue=1,B208,IF(langue=2,C208,IF(langue=3,D208,IF(langue=4,E208,F208))))</f>
        <v>PERSONAL PROTECTIVE EQUIPMENT</v>
      </c>
      <c r="B208" s="26" t="s">
        <v>805</v>
      </c>
      <c r="C208" s="26" t="s">
        <v>806</v>
      </c>
      <c r="D208" s="279" t="s">
        <v>807</v>
      </c>
      <c r="E208" s="524" t="s">
        <v>808</v>
      </c>
    </row>
    <row r="209" spans="1:5" ht="27.6">
      <c r="A209" s="286" t="str">
        <f t="shared" si="3"/>
        <v>BIOSAFETY DOCUMENTATION AND TRAINING</v>
      </c>
      <c r="B209" s="26" t="s">
        <v>809</v>
      </c>
      <c r="C209" s="26" t="s">
        <v>810</v>
      </c>
      <c r="D209" s="279" t="s">
        <v>811</v>
      </c>
      <c r="E209" s="524" t="s">
        <v>812</v>
      </c>
    </row>
    <row r="210" spans="1:5">
      <c r="A210" s="286" t="str">
        <f t="shared" si="3"/>
        <v>Biochemical Identification Reagents</v>
      </c>
      <c r="B210" s="26" t="s">
        <v>813</v>
      </c>
      <c r="C210" s="26" t="s">
        <v>814</v>
      </c>
      <c r="D210" s="279" t="s">
        <v>815</v>
      </c>
      <c r="E210" s="524" t="s">
        <v>816</v>
      </c>
    </row>
    <row r="211" spans="1:5">
      <c r="A211" s="286" t="str">
        <f t="shared" si="3"/>
        <v>In Use?</v>
      </c>
      <c r="B211" s="26" t="s">
        <v>817</v>
      </c>
      <c r="C211" s="392" t="s">
        <v>818</v>
      </c>
      <c r="D211" s="392" t="s">
        <v>819</v>
      </c>
      <c r="E211" s="526" t="s">
        <v>820</v>
      </c>
    </row>
    <row r="212" spans="1:5">
      <c r="A212" s="286" t="str">
        <f t="shared" si="3"/>
        <v>QC Score</v>
      </c>
      <c r="B212" s="26" t="s">
        <v>821</v>
      </c>
      <c r="C212" s="26" t="s">
        <v>822</v>
      </c>
      <c r="D212" s="279" t="s">
        <v>823</v>
      </c>
      <c r="E212" s="524" t="s">
        <v>824</v>
      </c>
    </row>
    <row r="213" spans="1:5">
      <c r="A213" s="286" t="str">
        <f t="shared" si="3"/>
        <v>SOP Score</v>
      </c>
      <c r="B213" s="26" t="s">
        <v>825</v>
      </c>
      <c r="C213" s="26" t="s">
        <v>826</v>
      </c>
      <c r="D213" s="279" t="s">
        <v>827</v>
      </c>
      <c r="E213" s="524" t="s">
        <v>828</v>
      </c>
    </row>
    <row r="214" spans="1:5">
      <c r="A214" s="286" t="str">
        <f t="shared" si="3"/>
        <v>Catalase (H2O2)</v>
      </c>
      <c r="B214" s="26" t="s">
        <v>829</v>
      </c>
      <c r="C214" s="26" t="s">
        <v>829</v>
      </c>
      <c r="D214" s="279" t="s">
        <v>830</v>
      </c>
      <c r="E214" s="524" t="s">
        <v>829</v>
      </c>
    </row>
    <row r="215" spans="1:5">
      <c r="A215" s="286" t="str">
        <f t="shared" si="3"/>
        <v>Coagulase plasma</v>
      </c>
      <c r="B215" s="26" t="s">
        <v>831</v>
      </c>
      <c r="C215" s="26" t="s">
        <v>832</v>
      </c>
      <c r="D215" s="164" t="s">
        <v>833</v>
      </c>
      <c r="E215" s="524" t="s">
        <v>834</v>
      </c>
    </row>
    <row r="216" spans="1:5" ht="27.6">
      <c r="A216" s="286" t="str">
        <f t="shared" si="3"/>
        <v>Staph latex agglutination</v>
      </c>
      <c r="B216" s="26" t="s">
        <v>835</v>
      </c>
      <c r="C216" s="26" t="s">
        <v>836</v>
      </c>
      <c r="D216" s="279" t="s">
        <v>837</v>
      </c>
      <c r="E216" s="524" t="s">
        <v>838</v>
      </c>
    </row>
    <row r="217" spans="1:5" ht="27.6">
      <c r="A217" s="286" t="str">
        <f t="shared" si="3"/>
        <v>Staph chromagar</v>
      </c>
      <c r="B217" s="26" t="s">
        <v>839</v>
      </c>
      <c r="C217" s="26" t="s">
        <v>839</v>
      </c>
      <c r="D217" s="279" t="s">
        <v>840</v>
      </c>
      <c r="E217" s="524" t="s">
        <v>841</v>
      </c>
    </row>
    <row r="218" spans="1:5">
      <c r="A218" s="286" t="str">
        <f t="shared" si="3"/>
        <v>DNase</v>
      </c>
      <c r="B218" s="20" t="s">
        <v>842</v>
      </c>
      <c r="C218" s="20" t="s">
        <v>842</v>
      </c>
      <c r="D218" s="280" t="s">
        <v>843</v>
      </c>
      <c r="E218" s="524" t="s">
        <v>842</v>
      </c>
    </row>
    <row r="219" spans="1:5">
      <c r="A219" s="286" t="str">
        <f t="shared" si="3"/>
        <v>PYR</v>
      </c>
      <c r="B219" s="20" t="s">
        <v>844</v>
      </c>
      <c r="C219" s="20" t="s">
        <v>844</v>
      </c>
      <c r="D219" s="280" t="s">
        <v>845</v>
      </c>
      <c r="E219" s="524" t="s">
        <v>844</v>
      </c>
    </row>
    <row r="220" spans="1:5">
      <c r="A220" s="286" t="str">
        <f t="shared" si="3"/>
        <v>Optochin ("P") disk</v>
      </c>
      <c r="B220" s="20" t="s">
        <v>846</v>
      </c>
      <c r="C220" s="20" t="s">
        <v>847</v>
      </c>
      <c r="D220" s="280" t="s">
        <v>848</v>
      </c>
      <c r="E220" s="524" t="s">
        <v>849</v>
      </c>
    </row>
    <row r="221" spans="1:5">
      <c r="A221" s="286" t="str">
        <f t="shared" si="3"/>
        <v>Bile solubility (deoxycholate)</v>
      </c>
      <c r="B221" s="20" t="s">
        <v>850</v>
      </c>
      <c r="C221" s="20" t="s">
        <v>851</v>
      </c>
      <c r="D221" s="280" t="s">
        <v>852</v>
      </c>
      <c r="E221" s="524" t="s">
        <v>853</v>
      </c>
    </row>
    <row r="222" spans="1:5">
      <c r="A222" s="286" t="str">
        <f t="shared" si="3"/>
        <v>Strep. pneumo latex agglutination</v>
      </c>
      <c r="B222" s="20" t="s">
        <v>854</v>
      </c>
      <c r="C222" s="20" t="s">
        <v>855</v>
      </c>
      <c r="D222" s="279" t="s">
        <v>856</v>
      </c>
      <c r="E222" s="524" t="s">
        <v>857</v>
      </c>
    </row>
    <row r="223" spans="1:5">
      <c r="A223" s="286" t="str">
        <f t="shared" si="3"/>
        <v>Oxidase</v>
      </c>
      <c r="B223" s="20" t="s">
        <v>858</v>
      </c>
      <c r="C223" s="20" t="s">
        <v>859</v>
      </c>
      <c r="D223" s="280" t="s">
        <v>860</v>
      </c>
      <c r="E223" s="524" t="s">
        <v>858</v>
      </c>
    </row>
    <row r="224" spans="1:5">
      <c r="A224" s="286" t="str">
        <f t="shared" si="3"/>
        <v>Indole reagents</v>
      </c>
      <c r="B224" s="20" t="s">
        <v>861</v>
      </c>
      <c r="C224" s="20" t="s">
        <v>862</v>
      </c>
      <c r="D224" s="280" t="s">
        <v>863</v>
      </c>
      <c r="E224" s="524" t="s">
        <v>864</v>
      </c>
    </row>
    <row r="225" spans="1:5">
      <c r="A225" s="286" t="str">
        <f t="shared" si="3"/>
        <v>Methyl Red</v>
      </c>
      <c r="B225" s="20" t="s">
        <v>865</v>
      </c>
      <c r="C225" s="20" t="s">
        <v>866</v>
      </c>
      <c r="D225" s="280" t="s">
        <v>867</v>
      </c>
      <c r="E225" s="524" t="s">
        <v>868</v>
      </c>
    </row>
    <row r="226" spans="1:5">
      <c r="A226" s="286" t="str">
        <f t="shared" si="3"/>
        <v>Voges-Proskauer</v>
      </c>
      <c r="B226" s="20" t="s">
        <v>869</v>
      </c>
      <c r="C226" s="20" t="s">
        <v>869</v>
      </c>
      <c r="D226" s="280" t="s">
        <v>869</v>
      </c>
      <c r="E226" s="524" t="s">
        <v>869</v>
      </c>
    </row>
    <row r="227" spans="1:5">
      <c r="A227" s="286" t="str">
        <f t="shared" si="3"/>
        <v>Citrate</v>
      </c>
      <c r="B227" s="20" t="s">
        <v>870</v>
      </c>
      <c r="C227" s="20" t="s">
        <v>870</v>
      </c>
      <c r="D227" s="280" t="s">
        <v>871</v>
      </c>
      <c r="E227" s="524" t="s">
        <v>871</v>
      </c>
    </row>
    <row r="228" spans="1:5" ht="27.6">
      <c r="A228" s="286" t="str">
        <f t="shared" si="3"/>
        <v>Triple Sugar Iron agar or Kligler's Iron Agar</v>
      </c>
      <c r="B228" s="20" t="s">
        <v>872</v>
      </c>
      <c r="C228" s="20" t="s">
        <v>873</v>
      </c>
      <c r="D228" s="280" t="s">
        <v>874</v>
      </c>
      <c r="E228" s="524" t="s">
        <v>875</v>
      </c>
    </row>
    <row r="229" spans="1:5">
      <c r="A229" s="286" t="str">
        <f t="shared" si="3"/>
        <v>Urease</v>
      </c>
      <c r="B229" s="20" t="s">
        <v>876</v>
      </c>
      <c r="C229" s="20" t="s">
        <v>877</v>
      </c>
      <c r="D229" s="280" t="s">
        <v>878</v>
      </c>
      <c r="E229" s="524" t="s">
        <v>876</v>
      </c>
    </row>
    <row r="230" spans="1:5">
      <c r="A230" s="286" t="str">
        <f t="shared" si="3"/>
        <v>Motility</v>
      </c>
      <c r="B230" s="20" t="s">
        <v>879</v>
      </c>
      <c r="C230" s="20" t="s">
        <v>880</v>
      </c>
      <c r="D230" s="280" t="s">
        <v>881</v>
      </c>
      <c r="E230" s="524" t="s">
        <v>882</v>
      </c>
    </row>
    <row r="231" spans="1:5" ht="27.6">
      <c r="A231" s="286" t="str">
        <f t="shared" si="3"/>
        <v>Lysine Iron Agar (LIA) or Lysine decarboxylase (LDC)</v>
      </c>
      <c r="B231" s="20" t="s">
        <v>883</v>
      </c>
      <c r="C231" s="20" t="s">
        <v>884</v>
      </c>
      <c r="D231" s="280" t="s">
        <v>885</v>
      </c>
      <c r="E231" s="524" t="s">
        <v>886</v>
      </c>
    </row>
    <row r="232" spans="1:5" ht="27.6">
      <c r="A232" s="286" t="str">
        <f t="shared" si="3"/>
        <v>Glucose or Dextrose Oxidative-Fermentative (OF) test</v>
      </c>
      <c r="B232" s="8" t="s">
        <v>887</v>
      </c>
      <c r="C232" s="8" t="s">
        <v>888</v>
      </c>
      <c r="D232" s="281" t="s">
        <v>889</v>
      </c>
      <c r="E232" s="524" t="s">
        <v>890</v>
      </c>
    </row>
    <row r="233" spans="1:5">
      <c r="A233" s="286" t="str">
        <f t="shared" si="3"/>
        <v>Nitrate reduction</v>
      </c>
      <c r="B233" s="8" t="s">
        <v>891</v>
      </c>
      <c r="C233" s="8" t="s">
        <v>892</v>
      </c>
      <c r="D233" s="281" t="s">
        <v>893</v>
      </c>
      <c r="E233" s="524" t="s">
        <v>894</v>
      </c>
    </row>
    <row r="234" spans="1:5">
      <c r="A234" s="286" t="str">
        <f t="shared" si="3"/>
        <v>Gelatin hydrolysis</v>
      </c>
      <c r="B234" s="8" t="s">
        <v>895</v>
      </c>
      <c r="C234" s="8" t="s">
        <v>896</v>
      </c>
      <c r="D234" s="281" t="s">
        <v>897</v>
      </c>
      <c r="E234" s="524" t="s">
        <v>898</v>
      </c>
    </row>
    <row r="235" spans="1:5">
      <c r="A235" s="286" t="str">
        <f t="shared" si="3"/>
        <v>Chloramphenicol resistance (disk)</v>
      </c>
      <c r="B235" s="20" t="s">
        <v>899</v>
      </c>
      <c r="C235" s="20" t="s">
        <v>900</v>
      </c>
      <c r="D235" s="280" t="s">
        <v>901</v>
      </c>
      <c r="E235" s="524" t="s">
        <v>902</v>
      </c>
    </row>
    <row r="236" spans="1:5">
      <c r="A236" s="286" t="str">
        <f t="shared" si="3"/>
        <v>Growth at 42°C</v>
      </c>
      <c r="B236" s="20" t="s">
        <v>903</v>
      </c>
      <c r="C236" s="20" t="s">
        <v>904</v>
      </c>
      <c r="D236" s="280" t="s">
        <v>905</v>
      </c>
      <c r="E236" s="524" t="s">
        <v>906</v>
      </c>
    </row>
    <row r="237" spans="1:5">
      <c r="A237" s="286" t="str">
        <f t="shared" si="3"/>
        <v>Shigella serology</v>
      </c>
      <c r="B237" s="8" t="s">
        <v>907</v>
      </c>
      <c r="C237" s="8" t="s">
        <v>908</v>
      </c>
      <c r="D237" s="281" t="s">
        <v>909</v>
      </c>
      <c r="E237" s="524" t="s">
        <v>910</v>
      </c>
    </row>
    <row r="238" spans="1:5">
      <c r="A238" s="286" t="str">
        <f t="shared" si="3"/>
        <v>Salmonella serology</v>
      </c>
      <c r="B238" s="8" t="s">
        <v>911</v>
      </c>
      <c r="C238" s="8" t="s">
        <v>912</v>
      </c>
      <c r="D238" s="281" t="s">
        <v>913</v>
      </c>
      <c r="E238" s="524" t="s">
        <v>914</v>
      </c>
    </row>
    <row r="239" spans="1:5" ht="27.6">
      <c r="A239" s="286" t="str">
        <f t="shared" si="3"/>
        <v>Equipment availability summary</v>
      </c>
      <c r="B239" s="8" t="s">
        <v>915</v>
      </c>
      <c r="C239" s="8" t="s">
        <v>916</v>
      </c>
      <c r="D239" s="281" t="s">
        <v>917</v>
      </c>
      <c r="E239" s="524" t="s">
        <v>918</v>
      </c>
    </row>
    <row r="240" spans="1:5">
      <c r="A240" s="286" t="str">
        <f t="shared" si="3"/>
        <v>General equipment</v>
      </c>
      <c r="B240" s="8" t="s">
        <v>919</v>
      </c>
      <c r="C240" s="8" t="s">
        <v>920</v>
      </c>
      <c r="D240" s="281" t="s">
        <v>921</v>
      </c>
      <c r="E240" s="524" t="s">
        <v>922</v>
      </c>
    </row>
    <row r="241" spans="1:5" ht="41.4">
      <c r="A241" s="286" t="str">
        <f t="shared" si="3"/>
        <v>McFarland QC standards of known densities, including 0.5, not expired</v>
      </c>
      <c r="B241" s="8" t="s">
        <v>923</v>
      </c>
      <c r="C241" s="351" t="s">
        <v>924</v>
      </c>
      <c r="D241" s="71" t="s">
        <v>925</v>
      </c>
      <c r="E241" s="524" t="s">
        <v>926</v>
      </c>
    </row>
    <row r="242" spans="1:5" ht="27.6">
      <c r="A242" s="286" t="str">
        <f t="shared" si="3"/>
        <v>Ruler or caliper with millimeter markings</v>
      </c>
      <c r="B242" s="8" t="s">
        <v>927</v>
      </c>
      <c r="C242" s="8" t="s">
        <v>928</v>
      </c>
      <c r="D242" s="71" t="s">
        <v>929</v>
      </c>
      <c r="E242" s="524" t="s">
        <v>930</v>
      </c>
    </row>
    <row r="243" spans="1:5">
      <c r="A243" s="286" t="str">
        <f t="shared" si="3"/>
        <v>Bunsen burners or micro-incinerators</v>
      </c>
      <c r="B243" s="8" t="s">
        <v>931</v>
      </c>
      <c r="C243" s="8" t="s">
        <v>932</v>
      </c>
      <c r="D243" s="281" t="s">
        <v>933</v>
      </c>
      <c r="E243" s="524" t="s">
        <v>934</v>
      </c>
    </row>
    <row r="244" spans="1:5" ht="27.6">
      <c r="A244" s="286" t="str">
        <f t="shared" si="3"/>
        <v>Calibrated 1uL or 10uL loops (for plating urine cultures)</v>
      </c>
      <c r="B244" s="8" t="s">
        <v>935</v>
      </c>
      <c r="C244" s="8" t="s">
        <v>936</v>
      </c>
      <c r="D244" s="281" t="s">
        <v>937</v>
      </c>
      <c r="E244" s="524" t="s">
        <v>938</v>
      </c>
    </row>
    <row r="245" spans="1:5" ht="41.4">
      <c r="A245" s="286" t="str">
        <f t="shared" si="3"/>
        <v>Optical densitometer/turbidimeter (for determining McFarland density)</v>
      </c>
      <c r="B245" s="8" t="s">
        <v>939</v>
      </c>
      <c r="C245" s="8" t="s">
        <v>940</v>
      </c>
      <c r="D245" s="71" t="s">
        <v>941</v>
      </c>
      <c r="E245" s="524" t="s">
        <v>942</v>
      </c>
    </row>
    <row r="246" spans="1:5">
      <c r="A246" s="286" t="str">
        <f t="shared" si="3"/>
        <v>Microliter pipettes (e.g., Eppendorf)</v>
      </c>
      <c r="B246" s="8" t="s">
        <v>943</v>
      </c>
      <c r="C246" s="8" t="s">
        <v>944</v>
      </c>
      <c r="D246" s="281" t="s">
        <v>945</v>
      </c>
      <c r="E246" s="524" t="s">
        <v>946</v>
      </c>
    </row>
    <row r="247" spans="1:5" ht="27.6">
      <c r="A247" s="286" t="str">
        <f t="shared" si="3"/>
        <v>Centrifuge (not used for TB cultures)</v>
      </c>
      <c r="B247" s="8" t="s">
        <v>947</v>
      </c>
      <c r="C247" s="8" t="s">
        <v>948</v>
      </c>
      <c r="D247" s="281" t="s">
        <v>949</v>
      </c>
      <c r="E247" s="524" t="s">
        <v>950</v>
      </c>
    </row>
    <row r="248" spans="1:5">
      <c r="A248" s="286" t="str">
        <f t="shared" si="3"/>
        <v>Microscope</v>
      </c>
      <c r="B248" s="8" t="s">
        <v>951</v>
      </c>
      <c r="C248" s="8" t="s">
        <v>951</v>
      </c>
      <c r="D248" s="281" t="s">
        <v>952</v>
      </c>
      <c r="E248" s="524" t="s">
        <v>953</v>
      </c>
    </row>
    <row r="249" spans="1:5">
      <c r="A249" s="286" t="str">
        <f t="shared" si="3"/>
        <v>Thermometers</v>
      </c>
      <c r="B249" s="8" t="s">
        <v>954</v>
      </c>
      <c r="C249" s="8" t="s">
        <v>955</v>
      </c>
      <c r="D249" s="281" t="s">
        <v>956</v>
      </c>
      <c r="E249" s="524" t="s">
        <v>957</v>
      </c>
    </row>
    <row r="250" spans="1:5">
      <c r="A250" s="286" t="str">
        <f t="shared" si="3"/>
        <v>CO2 incubators</v>
      </c>
      <c r="B250" s="8" t="s">
        <v>958</v>
      </c>
      <c r="C250" s="8" t="s">
        <v>959</v>
      </c>
      <c r="D250" s="281" t="s">
        <v>960</v>
      </c>
      <c r="E250" s="524" t="s">
        <v>960</v>
      </c>
    </row>
    <row r="251" spans="1:5">
      <c r="A251" s="286" t="str">
        <f t="shared" si="3"/>
        <v>Candle jars</v>
      </c>
      <c r="B251" s="8" t="s">
        <v>961</v>
      </c>
      <c r="C251" s="8" t="s">
        <v>962</v>
      </c>
      <c r="D251" s="71" t="s">
        <v>963</v>
      </c>
      <c r="E251" s="524" t="s">
        <v>964</v>
      </c>
    </row>
    <row r="252" spans="1:5" ht="27.6">
      <c r="A252" s="286" t="str">
        <f t="shared" si="3"/>
        <v>Ambient (non-CO2) incubator</v>
      </c>
      <c r="B252" s="8" t="s">
        <v>965</v>
      </c>
      <c r="C252" s="8" t="s">
        <v>966</v>
      </c>
      <c r="D252" s="71" t="s">
        <v>967</v>
      </c>
      <c r="E252" s="524" t="s">
        <v>968</v>
      </c>
    </row>
    <row r="253" spans="1:5">
      <c r="A253" s="286" t="str">
        <f t="shared" si="3"/>
        <v>Refrigerator (2-8°C)</v>
      </c>
      <c r="B253" s="8" t="s">
        <v>969</v>
      </c>
      <c r="C253" s="8" t="s">
        <v>970</v>
      </c>
      <c r="D253" s="281" t="s">
        <v>971</v>
      </c>
      <c r="E253" s="524" t="s">
        <v>972</v>
      </c>
    </row>
    <row r="254" spans="1:5">
      <c r="A254" s="286" t="str">
        <f t="shared" si="3"/>
        <v xml:space="preserve">Non-defrosting freezer, -20°C </v>
      </c>
      <c r="B254" s="8" t="s">
        <v>973</v>
      </c>
      <c r="C254" s="8" t="s">
        <v>974</v>
      </c>
      <c r="D254" s="71" t="s">
        <v>975</v>
      </c>
      <c r="E254" s="524" t="s">
        <v>976</v>
      </c>
    </row>
    <row r="255" spans="1:5">
      <c r="A255" s="286" t="str">
        <f t="shared" si="3"/>
        <v>Non-defrosting freezer, -60°C</v>
      </c>
      <c r="B255" s="8" t="s">
        <v>977</v>
      </c>
      <c r="C255" s="8" t="s">
        <v>978</v>
      </c>
      <c r="D255" s="71" t="s">
        <v>979</v>
      </c>
      <c r="E255" s="524" t="s">
        <v>980</v>
      </c>
    </row>
    <row r="256" spans="1:5">
      <c r="A256" s="286" t="str">
        <f t="shared" si="3"/>
        <v xml:space="preserve">Non-defrosting freezer, -80°C </v>
      </c>
      <c r="B256" s="8" t="s">
        <v>981</v>
      </c>
      <c r="C256" s="8" t="s">
        <v>982</v>
      </c>
      <c r="D256" s="71" t="s">
        <v>983</v>
      </c>
      <c r="E256" s="524" t="s">
        <v>984</v>
      </c>
    </row>
    <row r="257" spans="1:5" ht="41.4">
      <c r="A257" s="286" t="str">
        <f t="shared" si="3"/>
        <v>Rechargeable desiccants (for storage of open antibiotic disks and strips)</v>
      </c>
      <c r="B257" s="8" t="s">
        <v>985</v>
      </c>
      <c r="C257" s="8" t="s">
        <v>986</v>
      </c>
      <c r="D257" s="281" t="s">
        <v>987</v>
      </c>
      <c r="E257" s="524" t="s">
        <v>988</v>
      </c>
    </row>
    <row r="258" spans="1:5" ht="27.6">
      <c r="A258" s="286" t="str">
        <f t="shared" si="3"/>
        <v>Hot air oven (for drying saturated desiccants)</v>
      </c>
      <c r="B258" s="8" t="s">
        <v>989</v>
      </c>
      <c r="C258" s="8" t="s">
        <v>990</v>
      </c>
      <c r="D258" s="71" t="s">
        <v>991</v>
      </c>
      <c r="E258" s="524" t="s">
        <v>992</v>
      </c>
    </row>
    <row r="259" spans="1:5" ht="27.6">
      <c r="A259" s="286" t="str">
        <f t="shared" si="3"/>
        <v>Biological Safety Cabinet Class IIA</v>
      </c>
      <c r="B259" s="8" t="s">
        <v>993</v>
      </c>
      <c r="C259" s="8" t="s">
        <v>994</v>
      </c>
      <c r="D259" s="281" t="s">
        <v>995</v>
      </c>
      <c r="E259" s="524" t="s">
        <v>996</v>
      </c>
    </row>
    <row r="260" spans="1:5" ht="27.6">
      <c r="A260" s="286" t="str">
        <f t="shared" si="3"/>
        <v>Autoclave for media preparation ("clean" autoclave)</v>
      </c>
      <c r="B260" s="8" t="s">
        <v>997</v>
      </c>
      <c r="C260" s="8" t="s">
        <v>998</v>
      </c>
      <c r="D260" s="281" t="s">
        <v>999</v>
      </c>
      <c r="E260" s="524" t="s">
        <v>1000</v>
      </c>
    </row>
    <row r="261" spans="1:5" ht="27.6">
      <c r="A261" s="286" t="str">
        <f t="shared" si="3"/>
        <v>Autoclave for sterlizing waste ("dirty" autoclave)</v>
      </c>
      <c r="B261" s="8" t="s">
        <v>1001</v>
      </c>
      <c r="C261" s="8" t="s">
        <v>1002</v>
      </c>
      <c r="D261" s="281" t="s">
        <v>1003</v>
      </c>
      <c r="E261" s="524" t="s">
        <v>1004</v>
      </c>
    </row>
    <row r="262" spans="1:5" ht="27.6">
      <c r="A262" s="286" t="str">
        <f t="shared" si="3"/>
        <v>Media Preparation equipment</v>
      </c>
      <c r="B262" s="8" t="s">
        <v>1005</v>
      </c>
      <c r="C262" s="8" t="s">
        <v>1006</v>
      </c>
      <c r="D262" s="281" t="s">
        <v>1007</v>
      </c>
      <c r="E262" s="524" t="s">
        <v>1008</v>
      </c>
    </row>
    <row r="263" spans="1:5">
      <c r="A263" s="286" t="str">
        <f t="shared" si="3"/>
        <v>pH meter</v>
      </c>
      <c r="B263" s="8" t="s">
        <v>1009</v>
      </c>
      <c r="C263" s="8" t="s">
        <v>1010</v>
      </c>
      <c r="D263" s="281" t="s">
        <v>1011</v>
      </c>
      <c r="E263" s="524" t="s">
        <v>1012</v>
      </c>
    </row>
    <row r="264" spans="1:5">
      <c r="A264" s="286" t="str">
        <f t="shared" si="3"/>
        <v>Weighing balance</v>
      </c>
      <c r="B264" s="20" t="s">
        <v>1013</v>
      </c>
      <c r="C264" s="20" t="s">
        <v>1014</v>
      </c>
      <c r="D264" s="280" t="s">
        <v>1015</v>
      </c>
      <c r="E264" s="524" t="s">
        <v>1016</v>
      </c>
    </row>
    <row r="265" spans="1:5">
      <c r="A265" s="286" t="str">
        <f t="shared" si="3"/>
        <v>Conductivity meter</v>
      </c>
      <c r="B265" s="20" t="s">
        <v>1017</v>
      </c>
      <c r="C265" s="20" t="s">
        <v>1018</v>
      </c>
      <c r="D265" s="280" t="s">
        <v>1019</v>
      </c>
      <c r="E265" s="524" t="s">
        <v>1020</v>
      </c>
    </row>
    <row r="266" spans="1:5" ht="27.6">
      <c r="A266" s="286" t="str">
        <f t="shared" si="3"/>
        <v>Distillator/reverse osmosis equipment</v>
      </c>
      <c r="B266" s="20" t="s">
        <v>1021</v>
      </c>
      <c r="C266" s="20" t="s">
        <v>1022</v>
      </c>
      <c r="D266" s="280" t="s">
        <v>1023</v>
      </c>
      <c r="E266" s="524" t="s">
        <v>1024</v>
      </c>
    </row>
    <row r="267" spans="1:5" ht="41.4">
      <c r="A267" s="286" t="str">
        <f t="shared" si="3"/>
        <v>Hot plate with magnetic stir bar (for mixing powdered media)</v>
      </c>
      <c r="B267" s="20" t="s">
        <v>1025</v>
      </c>
      <c r="C267" s="20" t="s">
        <v>1026</v>
      </c>
      <c r="D267" s="280" t="s">
        <v>1027</v>
      </c>
      <c r="E267" s="524" t="s">
        <v>1028</v>
      </c>
    </row>
    <row r="268" spans="1:5">
      <c r="A268" s="286" t="str">
        <f t="shared" si="3"/>
        <v>Water bath</v>
      </c>
      <c r="B268" s="20" t="s">
        <v>1029</v>
      </c>
      <c r="C268" s="20" t="s">
        <v>1030</v>
      </c>
      <c r="D268" s="280" t="s">
        <v>1031</v>
      </c>
      <c r="E268" s="524" t="s">
        <v>1032</v>
      </c>
    </row>
    <row r="269" spans="1:5">
      <c r="A269" s="286" t="str">
        <f t="shared" si="3"/>
        <v>Automated Instruments</v>
      </c>
      <c r="B269" s="20" t="s">
        <v>1033</v>
      </c>
      <c r="C269" s="20" t="s">
        <v>1034</v>
      </c>
      <c r="D269" s="280" t="s">
        <v>1035</v>
      </c>
      <c r="E269" s="524" t="s">
        <v>1035</v>
      </c>
    </row>
    <row r="270" spans="1:5">
      <c r="A270" s="286" t="str">
        <f t="shared" si="3"/>
        <v>Blood culture instrument</v>
      </c>
      <c r="B270" s="20" t="s">
        <v>1036</v>
      </c>
      <c r="C270" s="20" t="s">
        <v>1037</v>
      </c>
      <c r="D270" s="280" t="s">
        <v>1038</v>
      </c>
      <c r="E270" s="524" t="s">
        <v>1039</v>
      </c>
    </row>
    <row r="271" spans="1:5" ht="41.4">
      <c r="A271" s="286" t="str">
        <f t="shared" si="3"/>
        <v>Instrument for bacterial ID and AST (e.g. Vitek, Phoenix, Microscan)</v>
      </c>
      <c r="B271" s="20" t="s">
        <v>1040</v>
      </c>
      <c r="C271" s="20" t="s">
        <v>1041</v>
      </c>
      <c r="D271" s="280" t="s">
        <v>1042</v>
      </c>
      <c r="E271" s="524" t="s">
        <v>1043</v>
      </c>
    </row>
    <row r="272" spans="1:5" ht="41.4">
      <c r="A272" s="286" t="str">
        <f t="shared" si="3"/>
        <v>Instrument for reading disk diffusion (e.g. SIRSCAN, BIOMIC V3, ADAGIO, etc.)</v>
      </c>
      <c r="B272" s="20" t="s">
        <v>1044</v>
      </c>
      <c r="C272" s="20" t="s">
        <v>1045</v>
      </c>
      <c r="D272" s="280" t="s">
        <v>1046</v>
      </c>
      <c r="E272" s="524" t="s">
        <v>1047</v>
      </c>
    </row>
    <row r="273" spans="1:5" ht="27.6">
      <c r="A273" s="286" t="str">
        <f t="shared" si="3"/>
        <v xml:space="preserve">MALDI instrument for organism ID </v>
      </c>
      <c r="B273" s="20" t="s">
        <v>1048</v>
      </c>
      <c r="C273" s="20" t="s">
        <v>1049</v>
      </c>
      <c r="D273" s="280" t="s">
        <v>1050</v>
      </c>
      <c r="E273" s="524" t="s">
        <v>1051</v>
      </c>
    </row>
    <row r="274" spans="1:5" ht="27.6">
      <c r="A274" s="286" t="str">
        <f t="shared" si="3"/>
        <v xml:space="preserve">PCR instrument for antibiotic resistance gene detection </v>
      </c>
      <c r="B274" s="20" t="s">
        <v>1052</v>
      </c>
      <c r="C274" s="20" t="s">
        <v>1053</v>
      </c>
      <c r="D274" s="280" t="s">
        <v>1054</v>
      </c>
      <c r="E274" s="524" t="s">
        <v>1055</v>
      </c>
    </row>
    <row r="275" spans="1:5">
      <c r="A275" s="286" t="str">
        <f t="shared" ref="A275:A351" si="4">IF(langue=1,B275,IF(langue=2,C275,IF(langue=3,D275,IF(langue=4,E275,F275))))</f>
        <v>CONCLUSIONS</v>
      </c>
      <c r="B275" s="20" t="s">
        <v>1056</v>
      </c>
      <c r="C275" s="20" t="s">
        <v>1056</v>
      </c>
      <c r="D275" s="26" t="s">
        <v>1057</v>
      </c>
      <c r="E275" s="530" t="s">
        <v>1058</v>
      </c>
    </row>
    <row r="276" spans="1:5" ht="41.4">
      <c r="A276" s="286" t="str">
        <f t="shared" si="4"/>
        <v>Use the embedded MS Word file to summarize the main findings and recommendations in narrative format.</v>
      </c>
      <c r="B276" s="20" t="s">
        <v>1059</v>
      </c>
      <c r="C276" s="392" t="s">
        <v>1060</v>
      </c>
      <c r="D276" s="391" t="s">
        <v>1061</v>
      </c>
      <c r="E276" s="526" t="s">
        <v>1062</v>
      </c>
    </row>
    <row r="277" spans="1:5" ht="41.4">
      <c r="A277" s="286" t="str">
        <f t="shared" si="4"/>
        <v>To enter findings, double click inside the box below.</v>
      </c>
      <c r="B277" s="20" t="s">
        <v>1063</v>
      </c>
      <c r="C277" s="391" t="s">
        <v>1064</v>
      </c>
      <c r="D277" s="392" t="s">
        <v>1065</v>
      </c>
      <c r="E277" s="526" t="s">
        <v>1066</v>
      </c>
    </row>
    <row r="278" spans="1:5" ht="27.6">
      <c r="A278" s="286" t="str">
        <f t="shared" si="4"/>
        <v>To exit and save, click anywhere in the Excel grid.</v>
      </c>
      <c r="B278" s="20" t="s">
        <v>1067</v>
      </c>
      <c r="C278" s="392" t="s">
        <v>1068</v>
      </c>
      <c r="D278" s="391" t="s">
        <v>1069</v>
      </c>
      <c r="E278" s="526" t="s">
        <v>1070</v>
      </c>
    </row>
    <row r="279" spans="1:5">
      <c r="A279" s="286" t="str">
        <f t="shared" si="4"/>
        <v>PHOTOGRAPHS</v>
      </c>
      <c r="B279" s="20" t="s">
        <v>1071</v>
      </c>
      <c r="C279" s="20" t="s">
        <v>1072</v>
      </c>
      <c r="D279" s="26" t="s">
        <v>1073</v>
      </c>
      <c r="E279" s="530" t="s">
        <v>1074</v>
      </c>
    </row>
    <row r="280" spans="1:5" ht="55.2">
      <c r="A280" s="286" t="str">
        <f t="shared" si="4"/>
        <v>Before inserting photos, resize them to less than 500KB/2MP (size “Medium”) in order to keep the final Excel file size small</v>
      </c>
      <c r="B280" s="26" t="s">
        <v>1075</v>
      </c>
      <c r="C280" s="392" t="s">
        <v>1076</v>
      </c>
      <c r="D280" s="392" t="s">
        <v>1077</v>
      </c>
      <c r="E280" s="526" t="s">
        <v>1078</v>
      </c>
    </row>
    <row r="281" spans="1:5" ht="27.6">
      <c r="A281" s="286" t="str">
        <f t="shared" si="4"/>
        <v>Up to 6 photographs may be inserted.</v>
      </c>
      <c r="B281" s="20" t="s">
        <v>1079</v>
      </c>
      <c r="C281" s="392" t="s">
        <v>1080</v>
      </c>
      <c r="D281" s="389" t="s">
        <v>1081</v>
      </c>
      <c r="E281" s="526" t="s">
        <v>1082</v>
      </c>
    </row>
    <row r="282" spans="1:5" ht="41.4">
      <c r="A282" s="286" t="str">
        <f t="shared" si="4"/>
        <v>Obtain permission before taking photos, and avoid capturing any patient identifiers</v>
      </c>
      <c r="B282" s="20" t="s">
        <v>1083</v>
      </c>
      <c r="C282" s="392" t="s">
        <v>1084</v>
      </c>
      <c r="D282" s="26" t="s">
        <v>1085</v>
      </c>
      <c r="E282" s="526" t="s">
        <v>1086</v>
      </c>
    </row>
    <row r="283" spans="1:5">
      <c r="A283" s="286" t="str">
        <f t="shared" si="4"/>
        <v>FLAGS</v>
      </c>
      <c r="B283" s="20" t="s">
        <v>1087</v>
      </c>
      <c r="C283" s="20" t="s">
        <v>1088</v>
      </c>
      <c r="D283" s="280" t="s">
        <v>1089</v>
      </c>
      <c r="E283" s="524" t="s">
        <v>1090</v>
      </c>
    </row>
    <row r="284" spans="1:5" ht="55.2">
      <c r="A284" s="286" t="str">
        <f t="shared" si="4"/>
        <v>Red Flags represent practices that may put patients or staff at risk and should be corrected immediately</v>
      </c>
      <c r="B284" s="20" t="s">
        <v>1091</v>
      </c>
      <c r="C284" s="20" t="s">
        <v>1092</v>
      </c>
      <c r="D284" s="280" t="s">
        <v>1093</v>
      </c>
      <c r="E284" s="524" t="s">
        <v>1094</v>
      </c>
    </row>
    <row r="285" spans="1:5" ht="55.2">
      <c r="A285" s="286" t="str">
        <f t="shared" si="4"/>
        <v>Training Opportunities highlight areas where sufficient training is frequently lacking</v>
      </c>
      <c r="B285" s="20" t="s">
        <v>1095</v>
      </c>
      <c r="C285" s="20" t="s">
        <v>1096</v>
      </c>
      <c r="D285" s="280" t="s">
        <v>1097</v>
      </c>
      <c r="E285" s="524" t="s">
        <v>1098</v>
      </c>
    </row>
    <row r="286" spans="1:5" ht="96.6">
      <c r="A286" s="286" t="str">
        <f t="shared" si="4"/>
        <v>System Flags highlight problems with the Hospital System or with National Systems. Lab leadership may need to reach out to Hospital or National leadership for assistance to change</v>
      </c>
      <c r="B286" s="20" t="s">
        <v>1099</v>
      </c>
      <c r="C286" s="20" t="s">
        <v>1100</v>
      </c>
      <c r="D286" s="127" t="s">
        <v>1101</v>
      </c>
      <c r="E286" s="524" t="s">
        <v>1102</v>
      </c>
    </row>
    <row r="287" spans="1:5">
      <c r="A287" s="286" t="str">
        <f t="shared" si="4"/>
        <v>Red Flags</v>
      </c>
      <c r="B287" s="20" t="s">
        <v>314</v>
      </c>
      <c r="C287" s="20" t="s">
        <v>315</v>
      </c>
      <c r="D287" s="280" t="s">
        <v>1103</v>
      </c>
      <c r="E287" s="524" t="s">
        <v>317</v>
      </c>
    </row>
    <row r="288" spans="1:5">
      <c r="A288" s="286" t="str">
        <f t="shared" si="4"/>
        <v>Response</v>
      </c>
      <c r="B288" s="20" t="s">
        <v>1104</v>
      </c>
      <c r="C288" s="391" t="s">
        <v>1105</v>
      </c>
      <c r="D288" s="392" t="s">
        <v>1106</v>
      </c>
      <c r="E288" s="526" t="s">
        <v>1107</v>
      </c>
    </row>
    <row r="289" spans="1:5">
      <c r="A289" s="286" t="str">
        <f t="shared" si="4"/>
        <v>Trigger</v>
      </c>
      <c r="B289" s="20" t="s">
        <v>1108</v>
      </c>
      <c r="C289" s="392" t="s">
        <v>1109</v>
      </c>
      <c r="D289" s="392" t="s">
        <v>1110</v>
      </c>
      <c r="E289" s="526" t="s">
        <v>1111</v>
      </c>
    </row>
    <row r="290" spans="1:5">
      <c r="A290" s="286" t="str">
        <f t="shared" si="4"/>
        <v>Module</v>
      </c>
      <c r="B290" s="20" t="s">
        <v>1112</v>
      </c>
      <c r="C290" s="392" t="s">
        <v>1112</v>
      </c>
      <c r="D290" s="392" t="s">
        <v>1113</v>
      </c>
      <c r="E290" s="526" t="s">
        <v>1113</v>
      </c>
    </row>
    <row r="291" spans="1:5">
      <c r="A291" s="286" t="str">
        <f t="shared" si="4"/>
        <v>Question</v>
      </c>
      <c r="B291" s="20" t="s">
        <v>1114</v>
      </c>
      <c r="C291" s="392" t="s">
        <v>1114</v>
      </c>
      <c r="D291" s="392" t="s">
        <v>1115</v>
      </c>
      <c r="E291" s="526" t="s">
        <v>1116</v>
      </c>
    </row>
    <row r="292" spans="1:5" ht="27.6">
      <c r="A292" s="286" t="str">
        <f t="shared" si="4"/>
        <v>Indicate whether the lab has the following FUNCTIONAL pieces of equipment.</v>
      </c>
      <c r="B292" s="20" t="s">
        <v>1117</v>
      </c>
      <c r="C292" s="20" t="s">
        <v>1118</v>
      </c>
      <c r="D292" s="280" t="s">
        <v>1119</v>
      </c>
      <c r="E292" s="524" t="s">
        <v>1120</v>
      </c>
    </row>
    <row r="293" spans="1:5" ht="27.6">
      <c r="A293" s="286" t="str">
        <f t="shared" si="4"/>
        <v>Has calibration been performed within the last year?</v>
      </c>
      <c r="B293" s="20" t="s">
        <v>1121</v>
      </c>
      <c r="C293" s="20" t="s">
        <v>1122</v>
      </c>
      <c r="D293" s="280" t="s">
        <v>1123</v>
      </c>
      <c r="E293" s="524" t="s">
        <v>1124</v>
      </c>
    </row>
    <row r="294" spans="1:5">
      <c r="A294" s="286" t="str">
        <f t="shared" si="4"/>
        <v>Training Opportunities</v>
      </c>
      <c r="B294" s="20" t="s">
        <v>318</v>
      </c>
      <c r="C294" s="20" t="s">
        <v>319</v>
      </c>
      <c r="D294" s="280" t="s">
        <v>320</v>
      </c>
      <c r="E294" s="524" t="s">
        <v>321</v>
      </c>
    </row>
    <row r="295" spans="1:5">
      <c r="A295" s="286" t="str">
        <f t="shared" si="4"/>
        <v>System Flag</v>
      </c>
      <c r="B295" s="20" t="s">
        <v>1125</v>
      </c>
      <c r="C295" s="20" t="s">
        <v>1126</v>
      </c>
      <c r="D295" s="127" t="s">
        <v>1127</v>
      </c>
      <c r="E295" s="524" t="s">
        <v>1128</v>
      </c>
    </row>
    <row r="296" spans="1:5">
      <c r="A296" s="286" t="str">
        <f t="shared" si="4"/>
        <v>Total number of Red Flags</v>
      </c>
      <c r="B296" s="20" t="s">
        <v>1129</v>
      </c>
      <c r="C296" s="20" t="s">
        <v>1130</v>
      </c>
      <c r="D296" s="127" t="s">
        <v>1131</v>
      </c>
      <c r="E296" s="524" t="s">
        <v>1132</v>
      </c>
    </row>
    <row r="297" spans="1:5" ht="27.6">
      <c r="A297" s="286" t="str">
        <f t="shared" si="4"/>
        <v>Total number of Training Opportunities</v>
      </c>
      <c r="B297" s="20" t="s">
        <v>1133</v>
      </c>
      <c r="C297" s="20" t="s">
        <v>1134</v>
      </c>
      <c r="D297" s="280" t="s">
        <v>1135</v>
      </c>
      <c r="E297" s="524" t="s">
        <v>1136</v>
      </c>
    </row>
    <row r="298" spans="1:5">
      <c r="A298" s="286" t="str">
        <f t="shared" si="4"/>
        <v>Total number of System Flags</v>
      </c>
      <c r="B298" s="20" t="s">
        <v>1137</v>
      </c>
      <c r="C298" s="20" t="s">
        <v>1138</v>
      </c>
      <c r="D298" s="127" t="s">
        <v>1139</v>
      </c>
      <c r="E298" s="524" t="s">
        <v>1140</v>
      </c>
    </row>
    <row r="299" spans="1:5">
      <c r="A299" s="286" t="str">
        <f t="shared" si="4"/>
        <v>0- GENERAL INFORMATION</v>
      </c>
      <c r="B299" s="20" t="s">
        <v>1141</v>
      </c>
      <c r="C299" s="20" t="s">
        <v>1142</v>
      </c>
      <c r="D299" s="280" t="s">
        <v>1143</v>
      </c>
      <c r="E299" s="524" t="s">
        <v>1144</v>
      </c>
    </row>
    <row r="300" spans="1:5" ht="27.6">
      <c r="A300" s="286" t="str">
        <f t="shared" si="4"/>
        <v>LABORATORY DEMOGRAPHICS</v>
      </c>
      <c r="B300" s="20" t="s">
        <v>1145</v>
      </c>
      <c r="C300" s="20" t="s">
        <v>1146</v>
      </c>
      <c r="D300" s="127" t="s">
        <v>1147</v>
      </c>
      <c r="E300" s="524" t="s">
        <v>1148</v>
      </c>
    </row>
    <row r="301" spans="1:5">
      <c r="A301" s="286" t="str">
        <f t="shared" si="4"/>
        <v>Assessor 1 (name and affiliation)</v>
      </c>
      <c r="B301" s="20" t="s">
        <v>1149</v>
      </c>
      <c r="C301" s="20" t="s">
        <v>1150</v>
      </c>
      <c r="D301" s="280" t="s">
        <v>1151</v>
      </c>
      <c r="E301" s="524" t="s">
        <v>1152</v>
      </c>
    </row>
    <row r="302" spans="1:5">
      <c r="A302" s="286" t="str">
        <f t="shared" si="4"/>
        <v>Assessor 2 (name and affiliation)</v>
      </c>
      <c r="B302" s="20" t="s">
        <v>1153</v>
      </c>
      <c r="C302" s="20" t="s">
        <v>1154</v>
      </c>
      <c r="D302" s="280" t="s">
        <v>1155</v>
      </c>
      <c r="E302" s="524" t="s">
        <v>1156</v>
      </c>
    </row>
    <row r="303" spans="1:5">
      <c r="A303" s="286" t="str">
        <f t="shared" si="4"/>
        <v>Assessor 3 (name and affiliation)</v>
      </c>
      <c r="B303" s="20" t="s">
        <v>1157</v>
      </c>
      <c r="C303" s="20" t="s">
        <v>1158</v>
      </c>
      <c r="D303" s="280" t="s">
        <v>1159</v>
      </c>
      <c r="E303" s="524" t="s">
        <v>1160</v>
      </c>
    </row>
    <row r="304" spans="1:5">
      <c r="A304" s="286" t="str">
        <f t="shared" si="4"/>
        <v>Date of assessment (dd/mm/yyyy)</v>
      </c>
      <c r="B304" s="20" t="s">
        <v>1161</v>
      </c>
      <c r="C304" s="20" t="s">
        <v>1162</v>
      </c>
      <c r="D304" s="280" t="s">
        <v>1163</v>
      </c>
      <c r="E304" s="524" t="s">
        <v>1164</v>
      </c>
    </row>
    <row r="305" spans="1:5">
      <c r="A305" s="286" t="str">
        <f t="shared" si="4"/>
        <v xml:space="preserve">Laboratory/Hospital name </v>
      </c>
      <c r="B305" s="20" t="s">
        <v>1165</v>
      </c>
      <c r="C305" s="20" t="s">
        <v>1166</v>
      </c>
      <c r="D305" s="280" t="s">
        <v>1167</v>
      </c>
      <c r="E305" s="524" t="s">
        <v>1168</v>
      </c>
    </row>
    <row r="306" spans="1:5">
      <c r="A306" s="286" t="str">
        <f t="shared" si="4"/>
        <v>Address</v>
      </c>
      <c r="B306" s="20" t="s">
        <v>1169</v>
      </c>
      <c r="C306" s="20" t="s">
        <v>1170</v>
      </c>
      <c r="D306" s="280" t="s">
        <v>1171</v>
      </c>
      <c r="E306" s="524" t="s">
        <v>1172</v>
      </c>
    </row>
    <row r="307" spans="1:5">
      <c r="A307" s="286" t="str">
        <f t="shared" si="4"/>
        <v>City</v>
      </c>
      <c r="B307" s="20" t="s">
        <v>1173</v>
      </c>
      <c r="C307" s="20" t="s">
        <v>1174</v>
      </c>
      <c r="D307" s="280" t="s">
        <v>1175</v>
      </c>
      <c r="E307" s="524" t="s">
        <v>1176</v>
      </c>
    </row>
    <row r="308" spans="1:5">
      <c r="A308" s="286" t="str">
        <f t="shared" si="4"/>
        <v>Province</v>
      </c>
      <c r="B308" s="20" t="s">
        <v>1177</v>
      </c>
      <c r="C308" s="20" t="s">
        <v>1177</v>
      </c>
      <c r="D308" s="280" t="s">
        <v>1178</v>
      </c>
      <c r="E308" s="524" t="s">
        <v>1179</v>
      </c>
    </row>
    <row r="309" spans="1:5">
      <c r="A309" s="286" t="str">
        <f t="shared" si="4"/>
        <v>District</v>
      </c>
      <c r="B309" s="20" t="s">
        <v>1180</v>
      </c>
      <c r="C309" s="20" t="s">
        <v>1180</v>
      </c>
      <c r="D309" s="280" t="s">
        <v>1181</v>
      </c>
      <c r="E309" s="524" t="s">
        <v>1181</v>
      </c>
    </row>
    <row r="310" spans="1:5">
      <c r="A310" s="286" t="str">
        <f t="shared" si="4"/>
        <v>Country</v>
      </c>
      <c r="B310" s="20" t="s">
        <v>148</v>
      </c>
      <c r="C310" s="20" t="s">
        <v>149</v>
      </c>
      <c r="D310" s="280" t="s">
        <v>150</v>
      </c>
      <c r="E310" s="524" t="s">
        <v>150</v>
      </c>
    </row>
    <row r="311" spans="1:5" ht="96.6">
      <c r="A311" s="286" t="str">
        <f t="shared" si="4"/>
        <v>GPS position of the laboratory (used for GIS representation of indicators). PLEASE ONLY USE DIGITAL DEGREE WITH + OR - SIGN. DO NOT USE DEGREES, MINUTES, SECONDS</v>
      </c>
      <c r="B311" s="20" t="s">
        <v>1182</v>
      </c>
      <c r="C311" s="20" t="s">
        <v>1183</v>
      </c>
      <c r="D311" s="127" t="s">
        <v>1184</v>
      </c>
      <c r="E311" s="524" t="s">
        <v>1185</v>
      </c>
    </row>
    <row r="312" spans="1:5" ht="27.6">
      <c r="A312" s="286" t="str">
        <f t="shared" si="4"/>
        <v>For altitude, enter meters without digits.                                                   Altitude</v>
      </c>
      <c r="B312" s="20" t="s">
        <v>1186</v>
      </c>
      <c r="C312" s="20" t="s">
        <v>1187</v>
      </c>
      <c r="D312" s="127" t="s">
        <v>1188</v>
      </c>
      <c r="E312" s="524" t="s">
        <v>1189</v>
      </c>
    </row>
    <row r="313" spans="1:5" ht="27.6">
      <c r="A313" s="286" t="str">
        <f t="shared" si="4"/>
        <v>Example: If altitude is 61.49 meters, enter 61</v>
      </c>
      <c r="B313" s="20" t="s">
        <v>1190</v>
      </c>
      <c r="C313" s="389" t="s">
        <v>1191</v>
      </c>
      <c r="D313" s="388" t="s">
        <v>1192</v>
      </c>
      <c r="E313" s="526" t="s">
        <v>1193</v>
      </c>
    </row>
    <row r="314" spans="1:5" ht="41.4">
      <c r="A314" s="286" t="str">
        <f t="shared" si="4"/>
        <v>For latitude, enter digital degrees with 5 digits after the comma.           Latitude</v>
      </c>
      <c r="B314" s="20" t="s">
        <v>1194</v>
      </c>
      <c r="C314" s="20" t="s">
        <v>1195</v>
      </c>
      <c r="D314" s="127" t="s">
        <v>1196</v>
      </c>
      <c r="E314" s="524" t="s">
        <v>1197</v>
      </c>
    </row>
    <row r="315" spans="1:5">
      <c r="A315" s="286" t="str">
        <f t="shared" si="4"/>
        <v>Example: 41,40338</v>
      </c>
      <c r="B315" s="20" t="s">
        <v>1198</v>
      </c>
      <c r="C315" s="20" t="s">
        <v>1199</v>
      </c>
      <c r="D315" s="20" t="s">
        <v>1200</v>
      </c>
      <c r="E315" s="524" t="s">
        <v>1201</v>
      </c>
    </row>
    <row r="316" spans="1:5" ht="41.4">
      <c r="A316" s="286" t="str">
        <f t="shared" si="4"/>
        <v>For longitude, enter digital degrees with 5 digits after the comma.    Longitude</v>
      </c>
      <c r="B316" s="20" t="s">
        <v>1202</v>
      </c>
      <c r="C316" s="20" t="s">
        <v>1203</v>
      </c>
      <c r="D316" s="127" t="s">
        <v>1204</v>
      </c>
      <c r="E316" s="524" t="s">
        <v>1205</v>
      </c>
    </row>
    <row r="317" spans="1:5">
      <c r="A317" s="286" t="str">
        <f t="shared" si="4"/>
        <v>Example: -2,17403</v>
      </c>
      <c r="B317" s="20" t="s">
        <v>1206</v>
      </c>
      <c r="C317" s="20" t="s">
        <v>1207</v>
      </c>
      <c r="D317" s="20" t="s">
        <v>1208</v>
      </c>
      <c r="E317" s="524" t="s">
        <v>1209</v>
      </c>
    </row>
    <row r="318" spans="1:5" ht="69">
      <c r="A318" s="286" t="str">
        <f t="shared" si="4"/>
        <v>Contact information of the relevant bacteriology laboratory leadership; e.g., Director, Manager, Supervisor, Section Head, Quality Officer</v>
      </c>
      <c r="B318" s="20" t="s">
        <v>1210</v>
      </c>
      <c r="C318" s="20" t="s">
        <v>1211</v>
      </c>
      <c r="D318" s="280" t="s">
        <v>1212</v>
      </c>
      <c r="E318" s="524" t="s">
        <v>1213</v>
      </c>
    </row>
    <row r="319" spans="1:5">
      <c r="A319" s="286" t="str">
        <f t="shared" si="4"/>
        <v>Title/Position</v>
      </c>
      <c r="B319" s="20" t="s">
        <v>1214</v>
      </c>
      <c r="C319" s="20" t="s">
        <v>1215</v>
      </c>
      <c r="D319" s="280" t="s">
        <v>1216</v>
      </c>
      <c r="E319" s="524" t="s">
        <v>1217</v>
      </c>
    </row>
    <row r="320" spans="1:5" ht="27.6">
      <c r="A320" s="286" t="str">
        <f t="shared" si="4"/>
        <v>Head of Micro Lab</v>
      </c>
      <c r="B320" s="20" t="s">
        <v>1218</v>
      </c>
      <c r="C320" s="20" t="s">
        <v>1219</v>
      </c>
      <c r="D320" s="280" t="s">
        <v>1220</v>
      </c>
      <c r="E320" s="524" t="s">
        <v>1221</v>
      </c>
    </row>
    <row r="321" spans="1:5">
      <c r="A321" s="286" t="str">
        <f t="shared" si="4"/>
        <v>Head Technician</v>
      </c>
      <c r="B321" s="20" t="s">
        <v>1222</v>
      </c>
      <c r="C321" s="20" t="s">
        <v>1223</v>
      </c>
      <c r="D321" s="280" t="s">
        <v>1224</v>
      </c>
      <c r="E321" s="524" t="s">
        <v>1225</v>
      </c>
    </row>
    <row r="322" spans="1:5">
      <c r="A322" s="286" t="str">
        <f t="shared" si="4"/>
        <v>Lab Sicentist</v>
      </c>
      <c r="B322" s="20" t="s">
        <v>1226</v>
      </c>
      <c r="C322" s="20" t="s">
        <v>1227</v>
      </c>
      <c r="D322" s="127" t="s">
        <v>1228</v>
      </c>
      <c r="E322" s="524" t="s">
        <v>1229</v>
      </c>
    </row>
    <row r="323" spans="1:5">
      <c r="A323" s="286" t="str">
        <f t="shared" si="4"/>
        <v>Lab Sicentist</v>
      </c>
      <c r="B323" s="20" t="s">
        <v>1226</v>
      </c>
      <c r="C323" s="20" t="s">
        <v>1227</v>
      </c>
      <c r="D323" s="127" t="s">
        <v>1228</v>
      </c>
      <c r="E323" s="524" t="s">
        <v>1229</v>
      </c>
    </row>
    <row r="324" spans="1:5">
      <c r="A324" s="286" t="str">
        <f t="shared" si="4"/>
        <v>Head Culture Room</v>
      </c>
      <c r="B324" s="20" t="s">
        <v>1230</v>
      </c>
      <c r="C324" s="20" t="s">
        <v>1231</v>
      </c>
      <c r="D324" s="127" t="s">
        <v>1232</v>
      </c>
      <c r="E324" s="524" t="s">
        <v>1233</v>
      </c>
    </row>
    <row r="325" spans="1:5">
      <c r="A325" s="286" t="str">
        <f t="shared" si="4"/>
        <v>Lab Sicentist</v>
      </c>
      <c r="B325" s="20" t="s">
        <v>1226</v>
      </c>
      <c r="C325" s="20" t="s">
        <v>1227</v>
      </c>
      <c r="D325" s="127" t="s">
        <v>1228</v>
      </c>
      <c r="E325" s="524" t="s">
        <v>1229</v>
      </c>
    </row>
    <row r="326" spans="1:5">
      <c r="A326" s="286" t="str">
        <f t="shared" si="4"/>
        <v>Lab Sicentist</v>
      </c>
      <c r="B326" s="20" t="s">
        <v>1226</v>
      </c>
      <c r="C326" s="20" t="s">
        <v>1227</v>
      </c>
      <c r="D326" s="127" t="s">
        <v>1228</v>
      </c>
      <c r="E326" s="524" t="s">
        <v>1229</v>
      </c>
    </row>
    <row r="327" spans="1:5" ht="27.6">
      <c r="A327" s="286" t="str">
        <f t="shared" si="4"/>
        <v>Primary Laboratory/Facility funding sources</v>
      </c>
      <c r="B327" s="20" t="s">
        <v>1234</v>
      </c>
      <c r="C327" s="20" t="s">
        <v>1235</v>
      </c>
      <c r="D327" s="280" t="s">
        <v>1236</v>
      </c>
      <c r="E327" s="524" t="s">
        <v>1237</v>
      </c>
    </row>
    <row r="328" spans="1:5">
      <c r="A328" s="286" t="str">
        <f t="shared" si="4"/>
        <v>1. Public/Government</v>
      </c>
      <c r="B328" s="20" t="s">
        <v>1238</v>
      </c>
      <c r="C328" s="20" t="s">
        <v>1239</v>
      </c>
      <c r="D328" s="280" t="s">
        <v>1240</v>
      </c>
      <c r="E328" s="524" t="s">
        <v>1241</v>
      </c>
    </row>
    <row r="329" spans="1:5">
      <c r="A329" s="286" t="str">
        <f t="shared" si="4"/>
        <v>2. Private</v>
      </c>
      <c r="B329" s="20" t="s">
        <v>1242</v>
      </c>
      <c r="C329" s="20" t="s">
        <v>1243</v>
      </c>
      <c r="D329" s="280" t="s">
        <v>1244</v>
      </c>
      <c r="E329" s="524" t="s">
        <v>1244</v>
      </c>
    </row>
    <row r="330" spans="1:5" ht="27.6">
      <c r="A330" s="286" t="str">
        <f t="shared" si="4"/>
        <v>3. NGO/Faith-based/Donors</v>
      </c>
      <c r="B330" s="20" t="s">
        <v>1245</v>
      </c>
      <c r="C330" s="20" t="s">
        <v>1246</v>
      </c>
      <c r="D330" s="280" t="s">
        <v>1247</v>
      </c>
      <c r="E330" s="524" t="s">
        <v>1248</v>
      </c>
    </row>
    <row r="331" spans="1:5">
      <c r="A331" s="286" t="str">
        <f t="shared" si="4"/>
        <v>4. Other</v>
      </c>
      <c r="B331" s="20" t="s">
        <v>1249</v>
      </c>
      <c r="C331" s="20" t="s">
        <v>1250</v>
      </c>
      <c r="D331" s="280" t="s">
        <v>1251</v>
      </c>
      <c r="E331" s="524" t="s">
        <v>1252</v>
      </c>
    </row>
    <row r="332" spans="1:5">
      <c r="A332" s="286" t="str">
        <f t="shared" si="4"/>
        <v>Primary Laboratory affiliation</v>
      </c>
      <c r="B332" s="20" t="s">
        <v>1253</v>
      </c>
      <c r="C332" s="20" t="s">
        <v>1254</v>
      </c>
      <c r="D332" s="280" t="s">
        <v>1255</v>
      </c>
      <c r="E332" s="524" t="s">
        <v>1256</v>
      </c>
    </row>
    <row r="333" spans="1:5" ht="27.6">
      <c r="A333" s="286" t="str">
        <f t="shared" si="4"/>
        <v>1. Hospital: University Medical Center or Teaching Hospital</v>
      </c>
      <c r="B333" s="20" t="s">
        <v>1257</v>
      </c>
      <c r="C333" s="20" t="s">
        <v>1258</v>
      </c>
      <c r="D333" s="280" t="s">
        <v>1259</v>
      </c>
      <c r="E333" s="524" t="s">
        <v>1260</v>
      </c>
    </row>
    <row r="334" spans="1:5">
      <c r="A334" s="286" t="str">
        <f t="shared" si="4"/>
        <v>2. Hospital: Military</v>
      </c>
      <c r="B334" s="20" t="s">
        <v>1261</v>
      </c>
      <c r="C334" s="20" t="s">
        <v>1262</v>
      </c>
      <c r="D334" s="280" t="s">
        <v>1263</v>
      </c>
      <c r="E334" s="524" t="s">
        <v>1263</v>
      </c>
    </row>
    <row r="335" spans="1:5">
      <c r="A335" s="286" t="str">
        <f t="shared" si="4"/>
        <v>3. Hospital: (not academic or military)</v>
      </c>
      <c r="B335" s="20" t="s">
        <v>1264</v>
      </c>
      <c r="C335" s="20" t="s">
        <v>1265</v>
      </c>
      <c r="D335" s="280" t="s">
        <v>1266</v>
      </c>
      <c r="E335" s="524" t="s">
        <v>1267</v>
      </c>
    </row>
    <row r="336" spans="1:5">
      <c r="A336" s="286" t="str">
        <f t="shared" si="4"/>
        <v>4. Clinic (primarily outpatient)</v>
      </c>
      <c r="B336" s="20" t="s">
        <v>1268</v>
      </c>
      <c r="C336" s="20" t="s">
        <v>1269</v>
      </c>
      <c r="D336" s="280" t="s">
        <v>1270</v>
      </c>
      <c r="E336" s="524" t="s">
        <v>1271</v>
      </c>
    </row>
    <row r="337" spans="1:5" ht="27.6">
      <c r="A337" s="286" t="str">
        <f t="shared" si="4"/>
        <v>5. Reference/referral lab within a Public Health Institute</v>
      </c>
      <c r="B337" s="20" t="s">
        <v>1272</v>
      </c>
      <c r="C337" s="20" t="s">
        <v>1273</v>
      </c>
      <c r="D337" s="280" t="s">
        <v>1274</v>
      </c>
      <c r="E337" s="524" t="s">
        <v>1275</v>
      </c>
    </row>
    <row r="338" spans="1:5" ht="41.4">
      <c r="A338" s="286" t="str">
        <f t="shared" si="4"/>
        <v>6. Reference/referral lab not affiliated with a single healthcare facility or public health institute</v>
      </c>
      <c r="B338" s="20" t="s">
        <v>1276</v>
      </c>
      <c r="C338" s="20" t="s">
        <v>1277</v>
      </c>
      <c r="D338" s="280" t="s">
        <v>1278</v>
      </c>
      <c r="E338" s="524" t="s">
        <v>1279</v>
      </c>
    </row>
    <row r="339" spans="1:5" ht="27.6">
      <c r="A339" s="286" t="str">
        <f t="shared" si="4"/>
        <v>7. Other, e.g., Research Laboratory</v>
      </c>
      <c r="B339" s="20" t="s">
        <v>1280</v>
      </c>
      <c r="C339" s="20" t="s">
        <v>1281</v>
      </c>
      <c r="D339" s="280" t="s">
        <v>1282</v>
      </c>
      <c r="E339" s="524" t="s">
        <v>1283</v>
      </c>
    </row>
    <row r="340" spans="1:5" ht="41.4">
      <c r="A340" s="286" t="str">
        <f t="shared" si="4"/>
        <v>Laboratory/Facility Level (if primarily government funded)</v>
      </c>
      <c r="B340" s="20" t="s">
        <v>1284</v>
      </c>
      <c r="C340" s="20" t="s">
        <v>1285</v>
      </c>
      <c r="D340" s="280" t="s">
        <v>1286</v>
      </c>
      <c r="E340" s="524" t="s">
        <v>1287</v>
      </c>
    </row>
    <row r="341" spans="1:5">
      <c r="A341" s="286" t="str">
        <f t="shared" si="4"/>
        <v>1. National</v>
      </c>
      <c r="B341" s="20" t="s">
        <v>1288</v>
      </c>
      <c r="C341" s="20" t="s">
        <v>1288</v>
      </c>
      <c r="D341" s="280" t="s">
        <v>1289</v>
      </c>
      <c r="E341" s="524" t="s">
        <v>1289</v>
      </c>
    </row>
    <row r="342" spans="1:5">
      <c r="A342" s="286" t="str">
        <f t="shared" si="4"/>
        <v xml:space="preserve">2. Regional </v>
      </c>
      <c r="B342" s="20" t="s">
        <v>1290</v>
      </c>
      <c r="C342" s="20" t="s">
        <v>1291</v>
      </c>
      <c r="D342" s="280" t="s">
        <v>1292</v>
      </c>
      <c r="E342" s="524" t="s">
        <v>1290</v>
      </c>
    </row>
    <row r="343" spans="1:5">
      <c r="A343" s="286" t="str">
        <f t="shared" si="4"/>
        <v>3. Provincial</v>
      </c>
      <c r="B343" s="20" t="s">
        <v>1293</v>
      </c>
      <c r="C343" s="20" t="s">
        <v>1293</v>
      </c>
      <c r="D343" s="280" t="s">
        <v>1293</v>
      </c>
      <c r="E343" s="524" t="s">
        <v>1293</v>
      </c>
    </row>
    <row r="344" spans="1:5">
      <c r="A344" s="286" t="str">
        <f t="shared" si="4"/>
        <v>4. District</v>
      </c>
      <c r="B344" s="20" t="s">
        <v>1294</v>
      </c>
      <c r="C344" s="20" t="s">
        <v>1294</v>
      </c>
      <c r="D344" s="280" t="s">
        <v>1295</v>
      </c>
      <c r="E344" s="524" t="s">
        <v>1296</v>
      </c>
    </row>
    <row r="345" spans="1:5">
      <c r="A345" s="286" t="str">
        <f t="shared" si="4"/>
        <v>5. NA</v>
      </c>
      <c r="B345" s="20" t="s">
        <v>1297</v>
      </c>
      <c r="C345" s="20" t="s">
        <v>1297</v>
      </c>
      <c r="D345" s="280" t="s">
        <v>1297</v>
      </c>
      <c r="E345" s="524" t="s">
        <v>1297</v>
      </c>
    </row>
    <row r="346" spans="1:5" ht="27.6">
      <c r="A346" s="286" t="str">
        <f t="shared" si="4"/>
        <v>Service level of the Hospital/Healthcare Facility</v>
      </c>
      <c r="B346" s="20" t="s">
        <v>1298</v>
      </c>
      <c r="C346" s="20" t="s">
        <v>1299</v>
      </c>
      <c r="D346" s="280" t="s">
        <v>1300</v>
      </c>
      <c r="E346" s="524" t="s">
        <v>1301</v>
      </c>
    </row>
    <row r="347" spans="1:5">
      <c r="A347" s="286" t="str">
        <f t="shared" si="4"/>
        <v>1. Primary</v>
      </c>
      <c r="B347" s="41" t="s">
        <v>1302</v>
      </c>
      <c r="C347" s="41" t="s">
        <v>1303</v>
      </c>
      <c r="D347" s="282" t="s">
        <v>1304</v>
      </c>
      <c r="E347" s="524" t="s">
        <v>1305</v>
      </c>
    </row>
    <row r="348" spans="1:5">
      <c r="A348" s="286" t="str">
        <f t="shared" si="4"/>
        <v>2. Secondary</v>
      </c>
      <c r="B348" s="8" t="s">
        <v>1306</v>
      </c>
      <c r="C348" s="8" t="s">
        <v>1307</v>
      </c>
      <c r="D348" s="281" t="s">
        <v>1308</v>
      </c>
      <c r="E348" s="524" t="s">
        <v>1309</v>
      </c>
    </row>
    <row r="349" spans="1:5">
      <c r="A349" s="286" t="str">
        <f t="shared" si="4"/>
        <v>3. Tertiary</v>
      </c>
      <c r="B349" s="41" t="s">
        <v>1310</v>
      </c>
      <c r="C349" s="41" t="s">
        <v>1311</v>
      </c>
      <c r="D349" s="282" t="s">
        <v>1312</v>
      </c>
      <c r="E349" s="524" t="s">
        <v>1313</v>
      </c>
    </row>
    <row r="350" spans="1:5">
      <c r="A350" s="286" t="str">
        <f t="shared" si="4"/>
        <v>4. Other</v>
      </c>
      <c r="B350" s="8" t="s">
        <v>1249</v>
      </c>
      <c r="C350" s="8" t="s">
        <v>1250</v>
      </c>
      <c r="D350" s="281" t="s">
        <v>1314</v>
      </c>
      <c r="E350" s="524" t="s">
        <v>1315</v>
      </c>
    </row>
    <row r="351" spans="1:5">
      <c r="A351" s="286" t="str">
        <f t="shared" si="4"/>
        <v>5. NA</v>
      </c>
      <c r="B351" s="41" t="s">
        <v>1297</v>
      </c>
      <c r="C351" s="41" t="s">
        <v>1297</v>
      </c>
      <c r="D351" s="282" t="s">
        <v>1297</v>
      </c>
      <c r="E351" s="524" t="s">
        <v>1297</v>
      </c>
    </row>
    <row r="352" spans="1:5" ht="27.6">
      <c r="A352" s="286" t="str">
        <f t="shared" ref="A352:A416" si="5">IF(langue=1,B352,IF(langue=2,C352,IF(langue=3,D352,IF(langue=4,E352,F352))))</f>
        <v>Number of beds of the Hospital/Healthcare Facility</v>
      </c>
      <c r="B352" s="8" t="s">
        <v>1316</v>
      </c>
      <c r="C352" s="8" t="s">
        <v>1317</v>
      </c>
      <c r="D352" s="281" t="s">
        <v>1318</v>
      </c>
      <c r="E352" s="524" t="s">
        <v>1319</v>
      </c>
    </row>
    <row r="353" spans="1:5">
      <c r="A353" s="286" t="str">
        <f t="shared" si="5"/>
        <v>(&lt;100, 100-499, 500-1000, &gt;1000, NA)</v>
      </c>
      <c r="B353" s="8" t="s">
        <v>1320</v>
      </c>
      <c r="C353" s="8" t="s">
        <v>1320</v>
      </c>
      <c r="D353" s="8" t="s">
        <v>1320</v>
      </c>
      <c r="E353" s="531" t="s">
        <v>1320</v>
      </c>
    </row>
    <row r="354" spans="1:5" ht="55.2">
      <c r="A354" s="286" t="str">
        <f t="shared" si="5"/>
        <v>Please note: all questions refer only to clinical patient specimens, NOT to environmental or research specimens</v>
      </c>
      <c r="B354" s="20" t="s">
        <v>1321</v>
      </c>
      <c r="C354" s="20" t="s">
        <v>1322</v>
      </c>
      <c r="D354" s="280" t="s">
        <v>1323</v>
      </c>
      <c r="E354" s="524" t="s">
        <v>1324</v>
      </c>
    </row>
    <row r="355" spans="1:5" ht="27.6">
      <c r="A355" s="286" t="str">
        <f t="shared" si="5"/>
        <v>TEST MENU and WORKLOAD</v>
      </c>
      <c r="B355" s="20" t="s">
        <v>1325</v>
      </c>
      <c r="C355" s="20" t="s">
        <v>1326</v>
      </c>
      <c r="D355" s="280" t="s">
        <v>1327</v>
      </c>
      <c r="E355" s="524" t="s">
        <v>1328</v>
      </c>
    </row>
    <row r="356" spans="1:5" ht="27.6">
      <c r="A356" s="286" t="str">
        <f t="shared" si="5"/>
        <v>Does the lab perform the following types of culture?</v>
      </c>
      <c r="B356" s="20" t="s">
        <v>1329</v>
      </c>
      <c r="C356" s="20" t="s">
        <v>1330</v>
      </c>
      <c r="D356" s="280" t="s">
        <v>1331</v>
      </c>
      <c r="E356" s="524" t="s">
        <v>1332</v>
      </c>
    </row>
    <row r="357" spans="1:5" ht="55.2">
      <c r="A357" s="286" t="str">
        <f t="shared" si="5"/>
        <v>In the # cultures last year column, please enter the total number of cultures performed last year, both positive and negative</v>
      </c>
      <c r="B357" s="20" t="s">
        <v>1333</v>
      </c>
      <c r="C357" s="20" t="s">
        <v>1334</v>
      </c>
      <c r="D357" s="280" t="s">
        <v>1335</v>
      </c>
      <c r="E357" s="524" t="s">
        <v>1336</v>
      </c>
    </row>
    <row r="358" spans="1:5">
      <c r="A358" s="286" t="str">
        <f t="shared" si="5"/>
        <v>Blood Cultures</v>
      </c>
      <c r="B358" s="20" t="s">
        <v>159</v>
      </c>
      <c r="C358" s="20" t="s">
        <v>1337</v>
      </c>
      <c r="D358" s="280" t="s">
        <v>161</v>
      </c>
      <c r="E358" s="524" t="s">
        <v>162</v>
      </c>
    </row>
    <row r="359" spans="1:5">
      <c r="A359" s="286" t="str">
        <f t="shared" si="5"/>
        <v>Urine Cultures</v>
      </c>
      <c r="B359" s="8" t="s">
        <v>163</v>
      </c>
      <c r="C359" s="8" t="s">
        <v>164</v>
      </c>
      <c r="D359" s="281" t="s">
        <v>165</v>
      </c>
      <c r="E359" s="524" t="s">
        <v>166</v>
      </c>
    </row>
    <row r="360" spans="1:5" ht="27.6">
      <c r="A360" s="286" t="str">
        <f t="shared" si="5"/>
        <v>Stool Cultures (all bacterial enteric pathogens)</v>
      </c>
      <c r="B360" s="26" t="s">
        <v>1338</v>
      </c>
      <c r="C360" s="26" t="s">
        <v>1339</v>
      </c>
      <c r="D360" s="279" t="s">
        <v>1340</v>
      </c>
      <c r="E360" s="524" t="s">
        <v>1341</v>
      </c>
    </row>
    <row r="361" spans="1:5" ht="55.2">
      <c r="A361" s="286" t="str">
        <f t="shared" si="5"/>
        <v>Please indicate if the lab performs stool culture for the following enteric pathogens. Do not enter the number of cultures.</v>
      </c>
      <c r="B361" s="8" t="s">
        <v>1342</v>
      </c>
      <c r="C361" s="8" t="s">
        <v>1343</v>
      </c>
      <c r="D361" s="281" t="s">
        <v>1344</v>
      </c>
      <c r="E361" s="524" t="s">
        <v>1345</v>
      </c>
    </row>
    <row r="362" spans="1:5">
      <c r="A362" s="286" t="str">
        <f t="shared" si="5"/>
        <v>Salmonella and/or Shigella</v>
      </c>
      <c r="B362" s="41" t="s">
        <v>1346</v>
      </c>
      <c r="C362" s="41" t="s">
        <v>1347</v>
      </c>
      <c r="D362" s="282" t="s">
        <v>1348</v>
      </c>
      <c r="E362" s="524" t="s">
        <v>1349</v>
      </c>
    </row>
    <row r="363" spans="1:5">
      <c r="A363" s="286" t="str">
        <f t="shared" si="5"/>
        <v>Vibrio cholerae</v>
      </c>
      <c r="B363" s="8" t="s">
        <v>1350</v>
      </c>
      <c r="C363" s="8" t="s">
        <v>1350</v>
      </c>
      <c r="D363" s="281" t="s">
        <v>1350</v>
      </c>
      <c r="E363" s="524" t="s">
        <v>1350</v>
      </c>
    </row>
    <row r="364" spans="1:5">
      <c r="A364" s="286" t="str">
        <f t="shared" si="5"/>
        <v>Yersinia enterocolitica</v>
      </c>
      <c r="B364" s="41" t="s">
        <v>1351</v>
      </c>
      <c r="C364" s="41" t="s">
        <v>1351</v>
      </c>
      <c r="D364" s="282" t="s">
        <v>1352</v>
      </c>
      <c r="E364" s="524" t="s">
        <v>1351</v>
      </c>
    </row>
    <row r="365" spans="1:5">
      <c r="A365" s="286" t="str">
        <f t="shared" si="5"/>
        <v>Campylobacter jejuni</v>
      </c>
      <c r="B365" s="8" t="s">
        <v>1353</v>
      </c>
      <c r="C365" s="8" t="s">
        <v>1353</v>
      </c>
      <c r="D365" s="281" t="s">
        <v>1353</v>
      </c>
      <c r="E365" s="524" t="s">
        <v>1353</v>
      </c>
    </row>
    <row r="366" spans="1:5" ht="41.4">
      <c r="A366" s="286" t="str">
        <f t="shared" si="5"/>
        <v>Enterohemorrhagic/Enterotoxic E. coli (e.g., O157:H7)</v>
      </c>
      <c r="B366" s="20" t="s">
        <v>1354</v>
      </c>
      <c r="C366" s="20" t="s">
        <v>1355</v>
      </c>
      <c r="D366" s="280" t="s">
        <v>1356</v>
      </c>
      <c r="E366" s="524" t="s">
        <v>1357</v>
      </c>
    </row>
    <row r="367" spans="1:5">
      <c r="A367" s="286" t="str">
        <f t="shared" si="5"/>
        <v>Respiratory Cultures (not TB/AFB)</v>
      </c>
      <c r="B367" s="8" t="s">
        <v>1358</v>
      </c>
      <c r="C367" s="8" t="s">
        <v>1359</v>
      </c>
      <c r="D367" s="71" t="s">
        <v>1360</v>
      </c>
      <c r="E367" s="524" t="s">
        <v>1361</v>
      </c>
    </row>
    <row r="368" spans="1:5">
      <c r="A368" s="286" t="str">
        <f t="shared" si="5"/>
        <v>Wound Cultures</v>
      </c>
      <c r="B368" s="8" t="s">
        <v>175</v>
      </c>
      <c r="C368" s="8" t="s">
        <v>176</v>
      </c>
      <c r="D368" s="71" t="s">
        <v>177</v>
      </c>
      <c r="E368" s="524" t="s">
        <v>178</v>
      </c>
    </row>
    <row r="369" spans="1:5">
      <c r="A369" s="286" t="str">
        <f t="shared" si="5"/>
        <v>Cerebrospinal Fluid Cultures</v>
      </c>
      <c r="B369" s="41" t="s">
        <v>179</v>
      </c>
      <c r="C369" s="41" t="s">
        <v>1362</v>
      </c>
      <c r="D369" s="283" t="s">
        <v>181</v>
      </c>
      <c r="E369" s="524" t="s">
        <v>182</v>
      </c>
    </row>
    <row r="370" spans="1:5" ht="41.4">
      <c r="A370" s="286" t="str">
        <f t="shared" si="5"/>
        <v>Sterile Body Fluid Cultures (pleural, pericardial, peritoneal, synovial)</v>
      </c>
      <c r="B370" s="8" t="s">
        <v>1363</v>
      </c>
      <c r="C370" s="8" t="s">
        <v>1364</v>
      </c>
      <c r="D370" s="71" t="s">
        <v>1365</v>
      </c>
      <c r="E370" s="524" t="s">
        <v>1366</v>
      </c>
    </row>
    <row r="371" spans="1:5">
      <c r="A371" s="286" t="str">
        <f t="shared" si="5"/>
        <v>Genital Cultures</v>
      </c>
      <c r="B371" s="8" t="s">
        <v>187</v>
      </c>
      <c r="C371" s="8" t="s">
        <v>1367</v>
      </c>
      <c r="D371" s="71" t="s">
        <v>189</v>
      </c>
      <c r="E371" s="524" t="s">
        <v>190</v>
      </c>
    </row>
    <row r="372" spans="1:5">
      <c r="A372" s="286" t="str">
        <f t="shared" si="5"/>
        <v>Anaerobic Cultures</v>
      </c>
      <c r="B372" s="20" t="s">
        <v>191</v>
      </c>
      <c r="C372" s="20" t="s">
        <v>192</v>
      </c>
      <c r="D372" s="127" t="s">
        <v>1368</v>
      </c>
      <c r="E372" s="524" t="s">
        <v>1369</v>
      </c>
    </row>
    <row r="373" spans="1:5">
      <c r="A373" s="286" t="str">
        <f t="shared" si="5"/>
        <v>Fungal Cultures (Yeast)</v>
      </c>
      <c r="B373" s="41" t="s">
        <v>195</v>
      </c>
      <c r="C373" s="41" t="s">
        <v>196</v>
      </c>
      <c r="D373" s="282" t="s">
        <v>197</v>
      </c>
      <c r="E373" s="524" t="s">
        <v>1370</v>
      </c>
    </row>
    <row r="374" spans="1:5">
      <c r="A374" s="286" t="str">
        <f t="shared" si="5"/>
        <v>Fungal Cultures (Mold)</v>
      </c>
      <c r="B374" s="41" t="s">
        <v>199</v>
      </c>
      <c r="C374" s="41" t="s">
        <v>200</v>
      </c>
      <c r="D374" s="282" t="s">
        <v>201</v>
      </c>
      <c r="E374" s="524" t="s">
        <v>1371</v>
      </c>
    </row>
    <row r="375" spans="1:5" ht="27.6">
      <c r="A375" s="286" t="str">
        <f t="shared" si="5"/>
        <v>MRSA screen for Infection Control purposes (e.g., nares, axilla, groin)</v>
      </c>
      <c r="B375" s="41" t="s">
        <v>1372</v>
      </c>
      <c r="C375" s="41" t="s">
        <v>1373</v>
      </c>
      <c r="D375" s="282" t="s">
        <v>1374</v>
      </c>
      <c r="E375" s="524" t="s">
        <v>1375</v>
      </c>
    </row>
    <row r="376" spans="1:5" ht="27.6">
      <c r="A376" s="286" t="str">
        <f t="shared" si="5"/>
        <v>VRE screen for Infection Control purposes (e.g., rectal swab)</v>
      </c>
      <c r="B376" s="8" t="s">
        <v>1376</v>
      </c>
      <c r="C376" s="8" t="s">
        <v>1377</v>
      </c>
      <c r="D376" s="281" t="s">
        <v>1378</v>
      </c>
      <c r="E376" s="524" t="s">
        <v>1379</v>
      </c>
    </row>
    <row r="377" spans="1:5" ht="41.4">
      <c r="A377" s="286" t="str">
        <f t="shared" si="5"/>
        <v>CRE screen (e.g., rectal swab)</v>
      </c>
      <c r="B377" s="20" t="s">
        <v>1380</v>
      </c>
      <c r="C377" s="20" t="s">
        <v>1381</v>
      </c>
      <c r="D377" s="280" t="s">
        <v>1382</v>
      </c>
      <c r="E377" s="524" t="s">
        <v>1383</v>
      </c>
    </row>
    <row r="378" spans="1:5" ht="27.6">
      <c r="A378" s="286" t="str">
        <f t="shared" si="5"/>
        <v>Identification and/or AST of isolates referred from other laboratories</v>
      </c>
      <c r="B378" s="20" t="s">
        <v>1384</v>
      </c>
      <c r="C378" s="20" t="s">
        <v>1385</v>
      </c>
      <c r="D378" s="280" t="s">
        <v>1386</v>
      </c>
      <c r="E378" s="524" t="s">
        <v>1387</v>
      </c>
    </row>
    <row r="379" spans="1:5" ht="41.4">
      <c r="A379" s="286" t="str">
        <f t="shared" si="5"/>
        <v>Other cultures of local importance (opportunity to customize via comments)</v>
      </c>
      <c r="B379" s="20" t="s">
        <v>1388</v>
      </c>
      <c r="C379" s="20" t="s">
        <v>1389</v>
      </c>
      <c r="D379" s="280" t="s">
        <v>1390</v>
      </c>
      <c r="E379" s="524" t="s">
        <v>1391</v>
      </c>
    </row>
    <row r="380" spans="1:5" ht="27.6">
      <c r="A380" s="286" t="str">
        <f t="shared" si="5"/>
        <v xml:space="preserve">AST/AMR METHODS AND WORKLOAD </v>
      </c>
      <c r="B380" s="20" t="s">
        <v>1392</v>
      </c>
      <c r="C380" s="20" t="s">
        <v>1393</v>
      </c>
      <c r="D380" s="127" t="s">
        <v>1394</v>
      </c>
      <c r="E380" s="524" t="s">
        <v>1395</v>
      </c>
    </row>
    <row r="381" spans="1:5" ht="27.6">
      <c r="A381" s="286" t="str">
        <f t="shared" si="5"/>
        <v xml:space="preserve">Which manual AST methods are in use? </v>
      </c>
      <c r="B381" s="20" t="s">
        <v>1396</v>
      </c>
      <c r="C381" s="20" t="s">
        <v>1397</v>
      </c>
      <c r="D381" s="280" t="s">
        <v>1398</v>
      </c>
      <c r="E381" s="524" t="s">
        <v>1399</v>
      </c>
    </row>
    <row r="382" spans="1:5" ht="69">
      <c r="A382" s="286" t="str">
        <f t="shared" si="5"/>
        <v>In the # organisms last year column, please enter the approximate number of organisms tested using each method, not the number of antibiotics tested</v>
      </c>
      <c r="B382" s="20" t="s">
        <v>1400</v>
      </c>
      <c r="C382" s="20" t="s">
        <v>1401</v>
      </c>
      <c r="D382" s="280" t="s">
        <v>1402</v>
      </c>
      <c r="E382" s="524" t="s">
        <v>1403</v>
      </c>
    </row>
    <row r="383" spans="1:5">
      <c r="A383" s="286" t="str">
        <f t="shared" si="5"/>
        <v>Disk diffusion</v>
      </c>
      <c r="B383" s="20" t="s">
        <v>231</v>
      </c>
      <c r="C383" s="20" t="s">
        <v>1404</v>
      </c>
      <c r="D383" s="280" t="s">
        <v>233</v>
      </c>
      <c r="E383" s="524" t="s">
        <v>234</v>
      </c>
    </row>
    <row r="384" spans="1:5" ht="27.6">
      <c r="A384" s="286" t="str">
        <f t="shared" si="5"/>
        <v>Gradient Strip (e.g., Etest/Liofilchem)</v>
      </c>
      <c r="B384" s="20" t="s">
        <v>235</v>
      </c>
      <c r="C384" s="20" t="s">
        <v>236</v>
      </c>
      <c r="D384" s="280" t="s">
        <v>1405</v>
      </c>
      <c r="E384" s="524" t="s">
        <v>1406</v>
      </c>
    </row>
    <row r="385" spans="1:5" ht="27.6">
      <c r="A385" s="286" t="str">
        <f t="shared" si="5"/>
        <v>Broth microdilution (96-well tray)</v>
      </c>
      <c r="B385" s="20" t="s">
        <v>239</v>
      </c>
      <c r="C385" s="20" t="s">
        <v>240</v>
      </c>
      <c r="D385" s="279" t="s">
        <v>241</v>
      </c>
      <c r="E385" s="524" t="s">
        <v>1407</v>
      </c>
    </row>
    <row r="386" spans="1:5" ht="27.6">
      <c r="A386" s="286" t="str">
        <f t="shared" si="5"/>
        <v>Broth macrodilultion (tube method)</v>
      </c>
      <c r="B386" s="20" t="s">
        <v>243</v>
      </c>
      <c r="C386" s="20" t="s">
        <v>1408</v>
      </c>
      <c r="D386" s="279" t="s">
        <v>245</v>
      </c>
      <c r="E386" s="524" t="s">
        <v>246</v>
      </c>
    </row>
    <row r="387" spans="1:5">
      <c r="A387" s="286" t="str">
        <f t="shared" si="5"/>
        <v>Agar dilution</v>
      </c>
      <c r="B387" s="20" t="s">
        <v>247</v>
      </c>
      <c r="C387" s="20" t="s">
        <v>248</v>
      </c>
      <c r="D387" s="279" t="s">
        <v>249</v>
      </c>
      <c r="E387" s="524" t="s">
        <v>1409</v>
      </c>
    </row>
    <row r="388" spans="1:5" ht="27.6">
      <c r="A388" s="286" t="str">
        <f t="shared" si="5"/>
        <v xml:space="preserve">Which automated AST methods are in use? </v>
      </c>
      <c r="B388" s="20" t="s">
        <v>1410</v>
      </c>
      <c r="C388" s="20" t="s">
        <v>1411</v>
      </c>
      <c r="D388" s="127" t="s">
        <v>1412</v>
      </c>
      <c r="E388" s="524" t="s">
        <v>1413</v>
      </c>
    </row>
    <row r="389" spans="1:5" ht="55.2">
      <c r="A389" s="286" t="str">
        <f t="shared" si="5"/>
        <v>In the # organisms last year column, please enter the approximate number of organisms tested using each method, not the number of antibiotics tested</v>
      </c>
      <c r="B389" s="20" t="s">
        <v>1400</v>
      </c>
      <c r="C389" s="20" t="s">
        <v>1414</v>
      </c>
      <c r="D389" s="280" t="s">
        <v>1402</v>
      </c>
      <c r="E389" s="524" t="s">
        <v>1415</v>
      </c>
    </row>
    <row r="390" spans="1:5">
      <c r="A390" s="286" t="str">
        <f t="shared" si="5"/>
        <v>Vitek</v>
      </c>
      <c r="B390" s="20" t="s">
        <v>1416</v>
      </c>
      <c r="C390" s="20" t="s">
        <v>1416</v>
      </c>
      <c r="D390" s="280" t="s">
        <v>1416</v>
      </c>
      <c r="E390" s="524" t="s">
        <v>1416</v>
      </c>
    </row>
    <row r="391" spans="1:5">
      <c r="A391" s="286" t="str">
        <f t="shared" si="5"/>
        <v>Phoenix</v>
      </c>
      <c r="B391" s="20" t="s">
        <v>1417</v>
      </c>
      <c r="C391" s="20" t="s">
        <v>1417</v>
      </c>
      <c r="D391" s="280" t="s">
        <v>1417</v>
      </c>
      <c r="E391" s="524" t="s">
        <v>1417</v>
      </c>
    </row>
    <row r="392" spans="1:5">
      <c r="A392" s="286" t="str">
        <f t="shared" si="5"/>
        <v>Microscan</v>
      </c>
      <c r="B392" s="20" t="s">
        <v>1418</v>
      </c>
      <c r="C392" s="20" t="s">
        <v>1418</v>
      </c>
      <c r="D392" s="280" t="s">
        <v>1418</v>
      </c>
      <c r="E392" s="524" t="s">
        <v>1418</v>
      </c>
    </row>
    <row r="393" spans="1:5" ht="27.6">
      <c r="A393" s="286" t="str">
        <f t="shared" si="5"/>
        <v>Other, please specify in comments.</v>
      </c>
      <c r="B393" s="20" t="s">
        <v>1419</v>
      </c>
      <c r="C393" s="20" t="s">
        <v>1420</v>
      </c>
      <c r="D393" s="280" t="s">
        <v>1421</v>
      </c>
      <c r="E393" s="524" t="s">
        <v>1422</v>
      </c>
    </row>
    <row r="394" spans="1:5" ht="41.4">
      <c r="A394" s="286" t="str">
        <f t="shared" si="5"/>
        <v>Does the lab use chromagar to detect antibiotic resistant organisms?</v>
      </c>
      <c r="B394" s="20" t="s">
        <v>1423</v>
      </c>
      <c r="C394" s="20" t="s">
        <v>1424</v>
      </c>
      <c r="D394" s="280" t="s">
        <v>1425</v>
      </c>
      <c r="E394" s="524" t="s">
        <v>1426</v>
      </c>
    </row>
    <row r="395" spans="1:5" ht="41.4">
      <c r="A395" s="286" t="str">
        <f t="shared" si="5"/>
        <v>In the # organisms last year column, please enter the approximate number of organisms tested using each method</v>
      </c>
      <c r="B395" s="20" t="s">
        <v>1427</v>
      </c>
      <c r="C395" s="20" t="s">
        <v>1428</v>
      </c>
      <c r="D395" s="280" t="s">
        <v>1429</v>
      </c>
      <c r="E395" s="524" t="s">
        <v>1430</v>
      </c>
    </row>
    <row r="396" spans="1:5">
      <c r="A396" s="286" t="str">
        <f t="shared" si="5"/>
        <v>ESBL producers</v>
      </c>
      <c r="B396" s="8" t="s">
        <v>1431</v>
      </c>
      <c r="C396" s="8" t="s">
        <v>1432</v>
      </c>
      <c r="D396" s="281" t="s">
        <v>1433</v>
      </c>
      <c r="E396" s="524" t="s">
        <v>1434</v>
      </c>
    </row>
    <row r="397" spans="1:5">
      <c r="A397" s="286" t="str">
        <f t="shared" si="5"/>
        <v>CRE/Carbapenemases</v>
      </c>
      <c r="B397" s="20" t="s">
        <v>1435</v>
      </c>
      <c r="C397" s="20" t="s">
        <v>1436</v>
      </c>
      <c r="D397" s="127" t="s">
        <v>1437</v>
      </c>
      <c r="E397" s="524" t="s">
        <v>1438</v>
      </c>
    </row>
    <row r="398" spans="1:5">
      <c r="A398" s="286" t="str">
        <f t="shared" si="5"/>
        <v>MRSA</v>
      </c>
      <c r="B398" s="20" t="s">
        <v>1439</v>
      </c>
      <c r="C398" s="20" t="s">
        <v>1440</v>
      </c>
      <c r="D398" s="280" t="s">
        <v>1440</v>
      </c>
      <c r="E398" s="524" t="s">
        <v>1439</v>
      </c>
    </row>
    <row r="399" spans="1:5">
      <c r="A399" s="286" t="str">
        <f t="shared" si="5"/>
        <v>VRE</v>
      </c>
      <c r="B399" s="20" t="s">
        <v>1441</v>
      </c>
      <c r="C399" s="20" t="s">
        <v>1442</v>
      </c>
      <c r="D399" s="280" t="s">
        <v>1442</v>
      </c>
      <c r="E399" s="524" t="s">
        <v>1441</v>
      </c>
    </row>
    <row r="400" spans="1:5">
      <c r="A400" s="286" t="str">
        <f t="shared" si="5"/>
        <v>Colistin resistance</v>
      </c>
      <c r="B400" s="20" t="s">
        <v>1443</v>
      </c>
      <c r="C400" s="20" t="s">
        <v>1444</v>
      </c>
      <c r="D400" s="280" t="s">
        <v>1445</v>
      </c>
      <c r="E400" s="524" t="s">
        <v>1446</v>
      </c>
    </row>
    <row r="401" spans="1:5" ht="27.6">
      <c r="A401" s="286" t="str">
        <f t="shared" si="5"/>
        <v>Other, please specify in comments.</v>
      </c>
      <c r="B401" s="20" t="s">
        <v>1419</v>
      </c>
      <c r="C401" s="20" t="s">
        <v>1420</v>
      </c>
      <c r="D401" s="280" t="s">
        <v>1421</v>
      </c>
      <c r="E401" s="524" t="s">
        <v>1422</v>
      </c>
    </row>
    <row r="402" spans="1:5" ht="41.4">
      <c r="A402" s="286" t="str">
        <f t="shared" si="5"/>
        <v>Does the lab use PCR to detect antibiotic resistance genes?</v>
      </c>
      <c r="B402" s="20" t="s">
        <v>1447</v>
      </c>
      <c r="C402" s="20" t="s">
        <v>1448</v>
      </c>
      <c r="D402" s="280" t="s">
        <v>1449</v>
      </c>
      <c r="E402" s="524" t="s">
        <v>1450</v>
      </c>
    </row>
    <row r="403" spans="1:5" ht="41.4">
      <c r="A403" s="286" t="str">
        <f t="shared" si="5"/>
        <v>In the #/year column, please enter the approximate number of organisms tested using each method</v>
      </c>
      <c r="B403" s="20" t="s">
        <v>1451</v>
      </c>
      <c r="C403" s="20" t="s">
        <v>1428</v>
      </c>
      <c r="D403" s="280" t="s">
        <v>1429</v>
      </c>
      <c r="E403" s="524" t="s">
        <v>1452</v>
      </c>
    </row>
    <row r="404" spans="1:5">
      <c r="A404" s="286" t="str">
        <f t="shared" si="5"/>
        <v>ESBLs</v>
      </c>
      <c r="B404" s="20" t="s">
        <v>1453</v>
      </c>
      <c r="C404" s="20" t="s">
        <v>1454</v>
      </c>
      <c r="D404" s="280" t="s">
        <v>1455</v>
      </c>
      <c r="E404" s="524" t="s">
        <v>1453</v>
      </c>
    </row>
    <row r="405" spans="1:5">
      <c r="A405" s="286" t="str">
        <f t="shared" si="5"/>
        <v>Carbapenemases</v>
      </c>
      <c r="B405" s="20" t="s">
        <v>1456</v>
      </c>
      <c r="C405" s="20" t="s">
        <v>1457</v>
      </c>
      <c r="D405" s="280" t="s">
        <v>1458</v>
      </c>
      <c r="E405" s="524" t="s">
        <v>1456</v>
      </c>
    </row>
    <row r="406" spans="1:5">
      <c r="A406" s="286" t="str">
        <f t="shared" si="5"/>
        <v xml:space="preserve">mecA </v>
      </c>
      <c r="B406" s="20" t="s">
        <v>1459</v>
      </c>
      <c r="C406" s="20" t="s">
        <v>1460</v>
      </c>
      <c r="D406" s="280" t="s">
        <v>1460</v>
      </c>
      <c r="E406" s="524" t="s">
        <v>1459</v>
      </c>
    </row>
    <row r="407" spans="1:5">
      <c r="A407" s="286" t="str">
        <f t="shared" si="5"/>
        <v>vanA/vanB</v>
      </c>
      <c r="B407" s="20" t="s">
        <v>1461</v>
      </c>
      <c r="C407" s="20" t="s">
        <v>1462</v>
      </c>
      <c r="D407" s="280" t="s">
        <v>1462</v>
      </c>
      <c r="E407" s="524" t="s">
        <v>1463</v>
      </c>
    </row>
    <row r="408" spans="1:5">
      <c r="A408" s="286" t="str">
        <f t="shared" si="5"/>
        <v>mcr-1</v>
      </c>
      <c r="B408" s="20" t="s">
        <v>1464</v>
      </c>
      <c r="C408" s="20" t="s">
        <v>1464</v>
      </c>
      <c r="D408" s="280" t="s">
        <v>1464</v>
      </c>
      <c r="E408" s="524" t="s">
        <v>1464</v>
      </c>
    </row>
    <row r="409" spans="1:5" ht="27.6">
      <c r="A409" s="286" t="str">
        <f t="shared" si="5"/>
        <v>Other, please specify in comments.</v>
      </c>
      <c r="B409" s="20" t="s">
        <v>1419</v>
      </c>
      <c r="C409" s="20" t="s">
        <v>1420</v>
      </c>
      <c r="D409" s="280" t="s">
        <v>1421</v>
      </c>
      <c r="E409" s="524" t="s">
        <v>1422</v>
      </c>
    </row>
    <row r="410" spans="1:5" ht="27.6">
      <c r="A410" s="286" t="str">
        <f t="shared" si="5"/>
        <v>LABORATORY STAFF EDUCATION/TRAINING</v>
      </c>
      <c r="B410" s="20" t="s">
        <v>1465</v>
      </c>
      <c r="C410" s="20" t="s">
        <v>1466</v>
      </c>
      <c r="D410" s="280" t="s">
        <v>1467</v>
      </c>
      <c r="E410" s="524" t="s">
        <v>1468</v>
      </c>
    </row>
    <row r="411" spans="1:5" ht="69">
      <c r="A411" s="286" t="str">
        <f t="shared" si="5"/>
        <v xml:space="preserve">Among laboratory leadership and the technical staff in bacteriology, indicate the number that fall into each training level category. </v>
      </c>
      <c r="B411" s="8" t="s">
        <v>1469</v>
      </c>
      <c r="C411" s="8" t="s">
        <v>1470</v>
      </c>
      <c r="D411" s="281" t="s">
        <v>1471</v>
      </c>
      <c r="E411" s="524" t="s">
        <v>1472</v>
      </c>
    </row>
    <row r="412" spans="1:5" ht="41.4">
      <c r="A412" s="286" t="str">
        <f t="shared" si="5"/>
        <v>Advanced degree in Medical Microbiology or Medical Laboratory Sciences (PhD, MD, equivalent)</v>
      </c>
      <c r="B412" s="8" t="s">
        <v>1473</v>
      </c>
      <c r="C412" s="26" t="s">
        <v>256</v>
      </c>
      <c r="D412" s="164" t="s">
        <v>1474</v>
      </c>
      <c r="E412" s="524" t="s">
        <v>1475</v>
      </c>
    </row>
    <row r="413" spans="1:5" ht="27.6">
      <c r="A413" s="286" t="str">
        <f t="shared" si="5"/>
        <v>Advanced degree, other concentration (PhD, MD, equivalent)</v>
      </c>
      <c r="B413" s="26" t="s">
        <v>1476</v>
      </c>
      <c r="C413" s="26" t="s">
        <v>260</v>
      </c>
      <c r="D413" s="279" t="s">
        <v>1477</v>
      </c>
      <c r="E413" s="524" t="s">
        <v>1478</v>
      </c>
    </row>
    <row r="414" spans="1:5" ht="41.4">
      <c r="A414" s="286" t="str">
        <f t="shared" si="5"/>
        <v>Postgraduate Master's degree in Microbiology or Medical Laboratory Sciences</v>
      </c>
      <c r="B414" s="93" t="s">
        <v>1479</v>
      </c>
      <c r="C414" s="26" t="s">
        <v>1480</v>
      </c>
      <c r="D414" s="164" t="s">
        <v>265</v>
      </c>
      <c r="E414" s="524" t="s">
        <v>266</v>
      </c>
    </row>
    <row r="415" spans="1:5" ht="27.6">
      <c r="A415" s="286" t="str">
        <f t="shared" si="5"/>
        <v>Postgraduate Master's degree, other concentration</v>
      </c>
      <c r="B415" s="26" t="s">
        <v>267</v>
      </c>
      <c r="C415" s="26" t="s">
        <v>268</v>
      </c>
      <c r="D415" s="164" t="s">
        <v>269</v>
      </c>
      <c r="E415" s="524" t="s">
        <v>270</v>
      </c>
    </row>
    <row r="416" spans="1:5" ht="41.4">
      <c r="A416" s="286" t="str">
        <f t="shared" si="5"/>
        <v>Graduate Bachelor's degree in Microbiology or Medical Laboratory Sciences</v>
      </c>
      <c r="B416" s="93" t="s">
        <v>1481</v>
      </c>
      <c r="C416" s="26" t="s">
        <v>272</v>
      </c>
      <c r="D416" s="164" t="s">
        <v>273</v>
      </c>
      <c r="E416" s="524" t="s">
        <v>274</v>
      </c>
    </row>
    <row r="417" spans="1:5" ht="27.6">
      <c r="A417" s="286" t="str">
        <f t="shared" ref="A417:A480" si="6">IF(langue=1,B417,IF(langue=2,C417,IF(langue=3,D417,IF(langue=4,E417,F417))))</f>
        <v>Graduate Bachelor's degree, other concentration</v>
      </c>
      <c r="B417" s="26" t="s">
        <v>275</v>
      </c>
      <c r="C417" s="26" t="s">
        <v>276</v>
      </c>
      <c r="D417" s="164" t="s">
        <v>277</v>
      </c>
      <c r="E417" s="524" t="s">
        <v>278</v>
      </c>
    </row>
    <row r="418" spans="1:5" ht="41.4">
      <c r="A418" s="286" t="str">
        <f t="shared" si="6"/>
        <v>Undergraduate Certificate or Diploma in Microbiology or Medical Laboratory Sciences</v>
      </c>
      <c r="B418" s="93" t="s">
        <v>1482</v>
      </c>
      <c r="C418" s="26" t="s">
        <v>280</v>
      </c>
      <c r="D418" s="164" t="s">
        <v>281</v>
      </c>
      <c r="E418" s="524" t="s">
        <v>282</v>
      </c>
    </row>
    <row r="419" spans="1:5" ht="27.6">
      <c r="A419" s="286" t="str">
        <f t="shared" si="6"/>
        <v>Undergraduate Certificate or Diploma, other concentration</v>
      </c>
      <c r="B419" s="26" t="s">
        <v>283</v>
      </c>
      <c r="C419" s="26" t="s">
        <v>284</v>
      </c>
      <c r="D419" s="164" t="s">
        <v>285</v>
      </c>
      <c r="E419" s="524" t="s">
        <v>286</v>
      </c>
    </row>
    <row r="420" spans="1:5" ht="27.6">
      <c r="A420" s="286" t="str">
        <f t="shared" si="6"/>
        <v>High school/Secondary school diploma</v>
      </c>
      <c r="B420" s="26" t="s">
        <v>287</v>
      </c>
      <c r="C420" s="26" t="s">
        <v>288</v>
      </c>
      <c r="D420" s="164" t="s">
        <v>289</v>
      </c>
      <c r="E420" s="524" t="s">
        <v>290</v>
      </c>
    </row>
    <row r="421" spans="1:5" ht="27.6">
      <c r="A421" s="286" t="str">
        <f t="shared" si="6"/>
        <v>On-the-job training only</v>
      </c>
      <c r="B421" s="26" t="s">
        <v>291</v>
      </c>
      <c r="C421" s="26" t="s">
        <v>1483</v>
      </c>
      <c r="D421" s="164" t="s">
        <v>293</v>
      </c>
      <c r="E421" s="524" t="s">
        <v>294</v>
      </c>
    </row>
    <row r="422" spans="1:5">
      <c r="A422" s="286" t="str">
        <f t="shared" si="6"/>
        <v>Other (specify in comments)</v>
      </c>
      <c r="B422" s="26" t="s">
        <v>295</v>
      </c>
      <c r="C422" s="26" t="s">
        <v>296</v>
      </c>
      <c r="D422" s="279" t="s">
        <v>297</v>
      </c>
      <c r="E422" s="524" t="s">
        <v>298</v>
      </c>
    </row>
    <row r="423" spans="1:5" ht="41.4">
      <c r="A423" s="286" t="str">
        <f t="shared" si="6"/>
        <v>Number of staff with Microbiology or Medical Lab Science Training</v>
      </c>
      <c r="B423" s="93" t="s">
        <v>1484</v>
      </c>
      <c r="C423" s="93" t="s">
        <v>1485</v>
      </c>
      <c r="D423" s="164" t="s">
        <v>1486</v>
      </c>
      <c r="E423" s="524" t="s">
        <v>1487</v>
      </c>
    </row>
    <row r="424" spans="1:5" ht="27.6">
      <c r="A424" s="286" t="str">
        <f t="shared" si="6"/>
        <v>Number of staff with other training</v>
      </c>
      <c r="B424" s="93" t="s">
        <v>1488</v>
      </c>
      <c r="C424" s="93" t="s">
        <v>1489</v>
      </c>
      <c r="D424" s="164" t="s">
        <v>1490</v>
      </c>
      <c r="E424" s="524" t="s">
        <v>1491</v>
      </c>
    </row>
    <row r="425" spans="1:5" ht="41.4">
      <c r="A425" s="286" t="str">
        <f t="shared" si="6"/>
        <v>Proportion of staff with Microbiology or Medical Lab Science Training</v>
      </c>
      <c r="B425" s="93" t="s">
        <v>1492</v>
      </c>
      <c r="C425" s="93" t="s">
        <v>1493</v>
      </c>
      <c r="D425" s="284" t="s">
        <v>1494</v>
      </c>
      <c r="E425" s="524" t="s">
        <v>1495</v>
      </c>
    </row>
    <row r="426" spans="1:5" ht="27.6">
      <c r="A426" s="286" t="str">
        <f t="shared" si="6"/>
        <v>Number of staff with a Graduate Bachelor's Degree or higher</v>
      </c>
      <c r="B426" s="26" t="s">
        <v>1496</v>
      </c>
      <c r="C426" s="26" t="s">
        <v>1497</v>
      </c>
      <c r="D426" s="164" t="s">
        <v>1498</v>
      </c>
      <c r="E426" s="524" t="s">
        <v>1499</v>
      </c>
    </row>
    <row r="427" spans="1:5" ht="27.6">
      <c r="A427" s="286" t="str">
        <f t="shared" si="6"/>
        <v>Number of staff with less than a Graduate Bachelor's Degree</v>
      </c>
      <c r="B427" s="26" t="s">
        <v>1500</v>
      </c>
      <c r="C427" s="26" t="s">
        <v>1501</v>
      </c>
      <c r="D427" s="164" t="s">
        <v>1502</v>
      </c>
      <c r="E427" s="524" t="s">
        <v>1503</v>
      </c>
    </row>
    <row r="428" spans="1:5" ht="27.6">
      <c r="A428" s="286" t="str">
        <f t="shared" si="6"/>
        <v>Proportion of staff with a Graduate Bachelor's Degree or higher</v>
      </c>
      <c r="B428" s="93" t="s">
        <v>1504</v>
      </c>
      <c r="C428" s="93" t="s">
        <v>1505</v>
      </c>
      <c r="D428" s="285" t="s">
        <v>1506</v>
      </c>
      <c r="E428" s="524" t="s">
        <v>1507</v>
      </c>
    </row>
    <row r="429" spans="1:5" ht="27.6">
      <c r="A429" s="286" t="str">
        <f t="shared" si="6"/>
        <v>QMS MENTORING PROGRAMS</v>
      </c>
      <c r="B429" s="26" t="s">
        <v>1508</v>
      </c>
      <c r="C429" s="26" t="s">
        <v>1509</v>
      </c>
      <c r="D429" s="164" t="s">
        <v>1510</v>
      </c>
      <c r="E429" s="524" t="s">
        <v>1511</v>
      </c>
    </row>
    <row r="430" spans="1:5" ht="55.2">
      <c r="A430" s="286" t="str">
        <f t="shared" si="6"/>
        <v>Has the laboratory ever been enrolled in the SLIPTA program?</v>
      </c>
      <c r="B430" s="26" t="s">
        <v>1512</v>
      </c>
      <c r="C430" s="26" t="s">
        <v>1513</v>
      </c>
      <c r="D430" s="164" t="s">
        <v>1514</v>
      </c>
      <c r="E430" s="524" t="s">
        <v>1515</v>
      </c>
    </row>
    <row r="431" spans="1:5" ht="27.6">
      <c r="A431" s="286" t="str">
        <f t="shared" si="6"/>
        <v>If yes, when was the most recent certification awarded?</v>
      </c>
      <c r="B431" s="8" t="s">
        <v>1516</v>
      </c>
      <c r="C431" s="8" t="s">
        <v>1517</v>
      </c>
      <c r="D431" s="281" t="s">
        <v>1518</v>
      </c>
      <c r="E431" s="524" t="s">
        <v>1519</v>
      </c>
    </row>
    <row r="432" spans="1:5" ht="27.6">
      <c r="A432" s="286" t="str">
        <f t="shared" si="6"/>
        <v>1: Within the past 2 years - 2: More than 2 years ago - 3: NA</v>
      </c>
      <c r="B432" s="26" t="s">
        <v>1520</v>
      </c>
      <c r="C432" s="26" t="s">
        <v>1521</v>
      </c>
      <c r="D432" s="279" t="s">
        <v>1522</v>
      </c>
      <c r="E432" s="524" t="s">
        <v>1523</v>
      </c>
    </row>
    <row r="433" spans="1:5" ht="41.4">
      <c r="A433" s="286" t="str">
        <f t="shared" si="6"/>
        <v>If yes, what is the star level of the latest SLIPTA audit?  Check the certificate.</v>
      </c>
      <c r="B433" s="93" t="s">
        <v>1524</v>
      </c>
      <c r="C433" s="93" t="s">
        <v>1525</v>
      </c>
      <c r="D433" s="284" t="s">
        <v>1526</v>
      </c>
      <c r="E433" s="524" t="s">
        <v>1527</v>
      </c>
    </row>
    <row r="434" spans="1:5" ht="41.4">
      <c r="A434" s="286" t="str">
        <f t="shared" si="6"/>
        <v>(0: 0 stars; 1: 1 stars; 2: 2 stars, 3: 3 stars; 4: 4 stars; 5: 5 stars, NA)</v>
      </c>
      <c r="B434" s="26" t="s">
        <v>1528</v>
      </c>
      <c r="C434" s="26" t="s">
        <v>1529</v>
      </c>
      <c r="D434" s="279" t="s">
        <v>1530</v>
      </c>
      <c r="E434" s="524" t="s">
        <v>1531</v>
      </c>
    </row>
    <row r="435" spans="1:5" ht="41.4">
      <c r="A435" s="286" t="str">
        <f t="shared" si="6"/>
        <v>Has the laboratory ever been enrolled in the WHO LQSI program? What year?</v>
      </c>
      <c r="B435" s="26" t="s">
        <v>1532</v>
      </c>
      <c r="C435" s="26" t="s">
        <v>1533</v>
      </c>
      <c r="D435" s="279" t="s">
        <v>1534</v>
      </c>
      <c r="E435" s="524" t="s">
        <v>1535</v>
      </c>
    </row>
    <row r="436" spans="1:5" ht="41.4">
      <c r="A436" s="286" t="str">
        <f t="shared" si="6"/>
        <v>If yes, what was the last overall % score for the 4 phases? What year?</v>
      </c>
      <c r="B436" s="93" t="s">
        <v>1536</v>
      </c>
      <c r="C436" s="93" t="s">
        <v>1537</v>
      </c>
      <c r="D436" s="284" t="s">
        <v>1538</v>
      </c>
      <c r="E436" s="524" t="s">
        <v>1539</v>
      </c>
    </row>
    <row r="437" spans="1:5" ht="27.6">
      <c r="A437" s="286" t="str">
        <f t="shared" si="6"/>
        <v>1: &gt;90%; 2: 70%-89%, 3: 50-69%, 4: &lt;50%, NA</v>
      </c>
      <c r="B437" s="93" t="s">
        <v>1540</v>
      </c>
      <c r="C437" s="93" t="s">
        <v>1541</v>
      </c>
      <c r="D437" s="284" t="s">
        <v>1542</v>
      </c>
      <c r="E437" s="524" t="s">
        <v>1543</v>
      </c>
    </row>
    <row r="438" spans="1:5" ht="69">
      <c r="A438" s="286" t="str">
        <f t="shared" si="6"/>
        <v>Has the laboratory ever been enrolled in any other mentoring program for Laboratory Quality Management (National, Regional, International)? When?</v>
      </c>
      <c r="B438" s="93" t="s">
        <v>1544</v>
      </c>
      <c r="C438" s="93" t="s">
        <v>1545</v>
      </c>
      <c r="D438" s="285" t="s">
        <v>1546</v>
      </c>
      <c r="E438" s="524" t="s">
        <v>1547</v>
      </c>
    </row>
    <row r="439" spans="1:5">
      <c r="A439" s="286" t="str">
        <f t="shared" si="6"/>
        <v>ACCREDITATION and CERTIFICATION</v>
      </c>
      <c r="B439" s="20" t="s">
        <v>1548</v>
      </c>
      <c r="C439" s="20" t="s">
        <v>1549</v>
      </c>
      <c r="D439" s="280" t="s">
        <v>1550</v>
      </c>
      <c r="E439" s="524" t="s">
        <v>1551</v>
      </c>
    </row>
    <row r="440" spans="1:5" ht="69">
      <c r="A440" s="286" t="str">
        <f t="shared" si="6"/>
        <v>Does the lab possess a valid (current) ISO 15189 accreditation certificate for any of the following tests? (Confirm by reviewing certificate)</v>
      </c>
      <c r="B440" s="26" t="s">
        <v>1552</v>
      </c>
      <c r="C440" s="26" t="s">
        <v>1553</v>
      </c>
      <c r="D440" s="279" t="s">
        <v>1554</v>
      </c>
      <c r="E440" s="524" t="s">
        <v>1555</v>
      </c>
    </row>
    <row r="441" spans="1:5">
      <c r="A441" s="286" t="str">
        <f t="shared" si="6"/>
        <v>Blood cultures</v>
      </c>
      <c r="B441" s="20" t="s">
        <v>1556</v>
      </c>
      <c r="C441" s="20" t="s">
        <v>1557</v>
      </c>
      <c r="D441" s="280" t="s">
        <v>161</v>
      </c>
      <c r="E441" s="524" t="s">
        <v>162</v>
      </c>
    </row>
    <row r="442" spans="1:5">
      <c r="A442" s="286" t="str">
        <f t="shared" si="6"/>
        <v>Stool cultures</v>
      </c>
      <c r="B442" s="20" t="s">
        <v>1558</v>
      </c>
      <c r="C442" s="20" t="s">
        <v>1559</v>
      </c>
      <c r="D442" s="280" t="s">
        <v>169</v>
      </c>
      <c r="E442" s="524" t="s">
        <v>170</v>
      </c>
    </row>
    <row r="443" spans="1:5">
      <c r="A443" s="286" t="str">
        <f t="shared" si="6"/>
        <v>Urine cultures</v>
      </c>
      <c r="B443" s="93" t="s">
        <v>1560</v>
      </c>
      <c r="C443" s="93" t="s">
        <v>164</v>
      </c>
      <c r="D443" s="284" t="s">
        <v>165</v>
      </c>
      <c r="E443" s="524" t="s">
        <v>166</v>
      </c>
    </row>
    <row r="444" spans="1:5">
      <c r="A444" s="286" t="str">
        <f t="shared" si="6"/>
        <v>Organism Identification</v>
      </c>
      <c r="B444" s="26" t="s">
        <v>1561</v>
      </c>
      <c r="C444" s="26" t="s">
        <v>1562</v>
      </c>
      <c r="D444" s="279" t="s">
        <v>1563</v>
      </c>
      <c r="E444" s="524" t="s">
        <v>1564</v>
      </c>
    </row>
    <row r="445" spans="1:5">
      <c r="A445" s="286" t="str">
        <f t="shared" si="6"/>
        <v>Antibiotic Susceptibility Testing</v>
      </c>
      <c r="B445" s="20" t="s">
        <v>1565</v>
      </c>
      <c r="C445" s="20" t="s">
        <v>1566</v>
      </c>
      <c r="D445" s="280" t="s">
        <v>1567</v>
      </c>
      <c r="E445" s="524" t="s">
        <v>1568</v>
      </c>
    </row>
    <row r="446" spans="1:5" ht="27.6">
      <c r="A446" s="286" t="str">
        <f t="shared" si="6"/>
        <v>Any other microbiology applied technique such as Gram staining?</v>
      </c>
      <c r="B446" s="20" t="s">
        <v>1569</v>
      </c>
      <c r="C446" s="20" t="s">
        <v>1570</v>
      </c>
      <c r="D446" s="280" t="s">
        <v>1571</v>
      </c>
      <c r="E446" s="524" t="s">
        <v>1572</v>
      </c>
    </row>
    <row r="447" spans="1:5" ht="69">
      <c r="A447" s="286" t="str">
        <f t="shared" si="6"/>
        <v xml:space="preserve">Who awarded the most recent accreditation? (Review accreditation certificate and write name of accrediting body in comments) </v>
      </c>
      <c r="B447" s="8" t="s">
        <v>1573</v>
      </c>
      <c r="C447" s="8" t="s">
        <v>1574</v>
      </c>
      <c r="D447" s="281" t="s">
        <v>1575</v>
      </c>
      <c r="E447" s="524" t="s">
        <v>1576</v>
      </c>
    </row>
    <row r="448" spans="1:5" ht="82.8">
      <c r="A448" s="286" t="str">
        <f t="shared" si="6"/>
        <v>1: ILAC Full Member; 2: ILAC Associate Member; 3: ILAC Affiliate Member;  4: ILAC Stakeholder; 5: ILAC Regional Cooperation Body; 6: Other/Don't know; 7: National Accrediting Board; NA</v>
      </c>
      <c r="B448" s="26" t="s">
        <v>1577</v>
      </c>
      <c r="C448" s="26" t="s">
        <v>1578</v>
      </c>
      <c r="D448" s="279" t="s">
        <v>1579</v>
      </c>
      <c r="E448" s="524" t="s">
        <v>1580</v>
      </c>
    </row>
    <row r="449" spans="1:5" ht="27.6">
      <c r="A449" s="286" t="str">
        <f t="shared" si="6"/>
        <v>(ILAC = International Laboratory Accreditation Cooperation)</v>
      </c>
      <c r="B449" s="8" t="s">
        <v>1581</v>
      </c>
      <c r="C449" s="8" t="s">
        <v>1582</v>
      </c>
      <c r="D449" s="281" t="s">
        <v>1583</v>
      </c>
      <c r="E449" s="524" t="s">
        <v>1584</v>
      </c>
    </row>
    <row r="450" spans="1:5">
      <c r="A450" s="286" t="str">
        <f t="shared" si="6"/>
        <v>First Name</v>
      </c>
      <c r="B450" s="8" t="s">
        <v>1585</v>
      </c>
      <c r="C450" s="8" t="s">
        <v>1586</v>
      </c>
      <c r="D450" s="281" t="s">
        <v>1587</v>
      </c>
      <c r="E450" s="524" t="s">
        <v>1588</v>
      </c>
    </row>
    <row r="451" spans="1:5">
      <c r="A451" s="286" t="str">
        <f t="shared" si="6"/>
        <v>Last name</v>
      </c>
      <c r="B451" s="8" t="s">
        <v>1589</v>
      </c>
      <c r="C451" s="8" t="s">
        <v>1590</v>
      </c>
      <c r="D451" s="281" t="s">
        <v>1591</v>
      </c>
      <c r="E451" s="524" t="s">
        <v>1592</v>
      </c>
    </row>
    <row r="452" spans="1:5">
      <c r="A452" s="286" t="str">
        <f t="shared" si="6"/>
        <v>Email address</v>
      </c>
      <c r="B452" s="8" t="s">
        <v>1593</v>
      </c>
      <c r="C452" s="8" t="s">
        <v>1594</v>
      </c>
      <c r="D452" s="281" t="s">
        <v>1595</v>
      </c>
      <c r="E452" s="524" t="s">
        <v>1596</v>
      </c>
    </row>
    <row r="453" spans="1:5">
      <c r="A453" s="286" t="str">
        <f t="shared" si="6"/>
        <v>Comments</v>
      </c>
      <c r="B453" s="8" t="s">
        <v>1597</v>
      </c>
      <c r="C453" s="8" t="s">
        <v>1598</v>
      </c>
      <c r="D453" s="281" t="s">
        <v>1599</v>
      </c>
      <c r="E453" s="524" t="s">
        <v>1600</v>
      </c>
    </row>
    <row r="454" spans="1:5">
      <c r="A454" s="286" t="str">
        <f t="shared" si="6"/>
        <v>Y/N</v>
      </c>
      <c r="B454" s="8" t="s">
        <v>1601</v>
      </c>
      <c r="C454" s="8" t="s">
        <v>1601</v>
      </c>
      <c r="D454" s="8" t="s">
        <v>1601</v>
      </c>
      <c r="E454" s="531" t="s">
        <v>1601</v>
      </c>
    </row>
    <row r="455" spans="1:5">
      <c r="A455" s="286" t="str">
        <f t="shared" si="6"/>
        <v xml:space="preserve"># cultures last year </v>
      </c>
      <c r="B455" s="8" t="s">
        <v>1602</v>
      </c>
      <c r="C455" s="8" t="s">
        <v>1603</v>
      </c>
      <c r="D455" s="281" t="s">
        <v>1604</v>
      </c>
      <c r="E455" s="524" t="s">
        <v>1605</v>
      </c>
    </row>
    <row r="456" spans="1:5">
      <c r="A456" s="286" t="str">
        <f t="shared" si="6"/>
        <v xml:space="preserve"># organisms last year </v>
      </c>
      <c r="B456" s="8" t="s">
        <v>1606</v>
      </c>
      <c r="C456" s="8" t="s">
        <v>1607</v>
      </c>
      <c r="D456" s="281" t="s">
        <v>1608</v>
      </c>
      <c r="E456" s="524" t="s">
        <v>1609</v>
      </c>
    </row>
    <row r="457" spans="1:5">
      <c r="A457" s="286" t="str">
        <f t="shared" si="6"/>
        <v># staff</v>
      </c>
      <c r="B457" s="8" t="s">
        <v>1610</v>
      </c>
      <c r="C457" s="8" t="s">
        <v>1611</v>
      </c>
      <c r="D457" s="281" t="s">
        <v>1612</v>
      </c>
      <c r="E457" s="524" t="s">
        <v>1613</v>
      </c>
    </row>
    <row r="458" spans="1:5" ht="27.6">
      <c r="A458" s="286" t="str">
        <f t="shared" si="6"/>
        <v>This section will autopopulate, do not enter data</v>
      </c>
      <c r="B458" s="8" t="s">
        <v>1614</v>
      </c>
      <c r="C458" s="8" t="s">
        <v>1615</v>
      </c>
      <c r="D458" s="281" t="s">
        <v>1616</v>
      </c>
      <c r="E458" s="524" t="s">
        <v>1617</v>
      </c>
    </row>
    <row r="459" spans="1:5">
      <c r="A459" s="286" t="str">
        <f t="shared" si="6"/>
        <v>Year</v>
      </c>
      <c r="B459" s="8" t="s">
        <v>1618</v>
      </c>
      <c r="C459" s="8" t="s">
        <v>1619</v>
      </c>
      <c r="D459" s="281" t="s">
        <v>1620</v>
      </c>
      <c r="E459" s="524" t="s">
        <v>1621</v>
      </c>
    </row>
    <row r="460" spans="1:5">
      <c r="A460" s="286" t="str">
        <f t="shared" si="6"/>
        <v>Year awarded</v>
      </c>
      <c r="B460" s="8" t="s">
        <v>1622</v>
      </c>
      <c r="C460" s="8" t="s">
        <v>1623</v>
      </c>
      <c r="D460" s="281" t="s">
        <v>1624</v>
      </c>
      <c r="E460" s="524" t="s">
        <v>1625</v>
      </c>
    </row>
    <row r="461" spans="1:5">
      <c r="A461" s="286" t="str">
        <f t="shared" si="6"/>
        <v>1- FACILITY</v>
      </c>
      <c r="B461" s="8" t="s">
        <v>385</v>
      </c>
      <c r="C461" s="8" t="s">
        <v>1626</v>
      </c>
      <c r="D461" s="281" t="s">
        <v>1627</v>
      </c>
      <c r="E461" s="524" t="s">
        <v>388</v>
      </c>
    </row>
    <row r="462" spans="1:5" ht="82.8">
      <c r="A462" s="286" t="str">
        <f t="shared" si="6"/>
        <v>Please note: all questions refer to equipment that is used for clinical patient specimens, NOT equipment that is used only for research specimens</v>
      </c>
      <c r="B462" s="8" t="s">
        <v>1628</v>
      </c>
      <c r="C462" s="8" t="s">
        <v>1629</v>
      </c>
      <c r="D462" s="281" t="s">
        <v>1630</v>
      </c>
      <c r="E462" s="524" t="s">
        <v>1631</v>
      </c>
    </row>
    <row r="463" spans="1:5">
      <c r="A463" s="286" t="str">
        <f t="shared" si="6"/>
        <v>LABORATORY FACILITY</v>
      </c>
      <c r="B463" s="8" t="s">
        <v>389</v>
      </c>
      <c r="C463" s="8" t="s">
        <v>390</v>
      </c>
      <c r="D463" s="281" t="s">
        <v>391</v>
      </c>
      <c r="E463" s="524" t="s">
        <v>392</v>
      </c>
    </row>
    <row r="464" spans="1:5" ht="27.6">
      <c r="A464" s="286" t="str">
        <f t="shared" si="6"/>
        <v>Observe the laboratory work benches, are they:</v>
      </c>
      <c r="B464" s="8" t="s">
        <v>1632</v>
      </c>
      <c r="C464" s="8" t="s">
        <v>1633</v>
      </c>
      <c r="D464" s="71" t="s">
        <v>1634</v>
      </c>
      <c r="E464" s="524" t="s">
        <v>1635</v>
      </c>
    </row>
    <row r="465" spans="1:6" ht="27.6">
      <c r="A465" s="286" t="str">
        <f t="shared" si="6"/>
        <v>Separate from patient care areas</v>
      </c>
      <c r="B465" s="8" t="s">
        <v>1636</v>
      </c>
      <c r="C465" s="8" t="s">
        <v>1637</v>
      </c>
      <c r="D465" s="281" t="s">
        <v>1638</v>
      </c>
      <c r="E465" s="524" t="s">
        <v>1639</v>
      </c>
    </row>
    <row r="466" spans="1:6" ht="27.6">
      <c r="A466" s="286" t="str">
        <f t="shared" si="6"/>
        <v>Organized with minimal clutter?</v>
      </c>
      <c r="B466" s="26" t="s">
        <v>1640</v>
      </c>
      <c r="C466" s="26" t="s">
        <v>1641</v>
      </c>
      <c r="D466" s="279" t="s">
        <v>1642</v>
      </c>
      <c r="E466" s="524" t="s">
        <v>1643</v>
      </c>
    </row>
    <row r="467" spans="1:6">
      <c r="A467" s="286" t="str">
        <f t="shared" si="6"/>
        <v>Adequately ventilated?</v>
      </c>
      <c r="B467" s="26" t="s">
        <v>1644</v>
      </c>
      <c r="C467" s="26" t="s">
        <v>1645</v>
      </c>
      <c r="D467" s="279" t="s">
        <v>1646</v>
      </c>
      <c r="E467" s="524" t="s">
        <v>1647</v>
      </c>
    </row>
    <row r="468" spans="1:6">
      <c r="A468" s="286" t="str">
        <f t="shared" si="6"/>
        <v>Free of excess moisture?</v>
      </c>
      <c r="B468" s="26" t="s">
        <v>1648</v>
      </c>
      <c r="C468" s="26" t="s">
        <v>1649</v>
      </c>
      <c r="D468" s="279" t="s">
        <v>1650</v>
      </c>
      <c r="E468" s="524" t="s">
        <v>1651</v>
      </c>
    </row>
    <row r="469" spans="1:6">
      <c r="A469" s="286" t="str">
        <f t="shared" si="6"/>
        <v>Adequately lit?</v>
      </c>
      <c r="B469" s="26" t="s">
        <v>1652</v>
      </c>
      <c r="C469" s="26" t="s">
        <v>1653</v>
      </c>
      <c r="D469" s="279" t="s">
        <v>1654</v>
      </c>
      <c r="E469" s="524" t="s">
        <v>1655</v>
      </c>
    </row>
    <row r="470" spans="1:6" ht="41.4">
      <c r="A470" s="286" t="str">
        <f t="shared" si="6"/>
        <v>Does the laboratory have a functional heating/air conditioning system?</v>
      </c>
      <c r="B470" s="26" t="s">
        <v>1656</v>
      </c>
      <c r="C470" s="26" t="s">
        <v>1657</v>
      </c>
      <c r="D470" s="279" t="s">
        <v>1658</v>
      </c>
      <c r="E470" s="524" t="s">
        <v>1659</v>
      </c>
    </row>
    <row r="471" spans="1:6" ht="27.6">
      <c r="A471" s="286" t="str">
        <f t="shared" si="6"/>
        <v>Is the temperature in the laboratory maintained between 20°-25°C?</v>
      </c>
      <c r="B471" s="26" t="s">
        <v>1660</v>
      </c>
      <c r="C471" s="26" t="s">
        <v>1661</v>
      </c>
      <c r="D471" s="279" t="s">
        <v>1662</v>
      </c>
      <c r="E471" s="524" t="s">
        <v>1663</v>
      </c>
    </row>
    <row r="472" spans="1:6" ht="82.8">
      <c r="A472" s="286" t="str">
        <f t="shared" si="6"/>
        <v>Are all critical equipment (instruments, refrigerators, freezers, incubators, computers, automated instruments) supported by a functioning generator?</v>
      </c>
      <c r="B472" s="26" t="s">
        <v>1664</v>
      </c>
      <c r="C472" s="26" t="s">
        <v>1665</v>
      </c>
      <c r="D472" s="279" t="s">
        <v>1666</v>
      </c>
      <c r="E472" s="524" t="s">
        <v>1667</v>
      </c>
    </row>
    <row r="473" spans="1:6" ht="82.8">
      <c r="A473" s="286" t="str">
        <f t="shared" si="6"/>
        <v>Are all critical pieces of equipment attached to uninterrupted power source (UPS) devices? (These provide temporary power until the generator can be activated)</v>
      </c>
      <c r="B473" s="26" t="s">
        <v>1668</v>
      </c>
      <c r="C473" s="26" t="s">
        <v>1669</v>
      </c>
      <c r="D473" s="279" t="s">
        <v>1670</v>
      </c>
      <c r="E473" s="524" t="s">
        <v>1671</v>
      </c>
    </row>
    <row r="474" spans="1:6" ht="69">
      <c r="A474" s="286" t="str">
        <f t="shared" si="6"/>
        <v>In the last 6 months, has prolonged power failure disrupted the ability to provide routine bacteriology services?</v>
      </c>
      <c r="B474" s="26" t="s">
        <v>1672</v>
      </c>
      <c r="C474" s="26" t="s">
        <v>1673</v>
      </c>
      <c r="D474" s="279" t="s">
        <v>1674</v>
      </c>
      <c r="E474" s="524" t="s">
        <v>1675</v>
      </c>
    </row>
    <row r="475" spans="1:6" ht="69">
      <c r="A475" s="286" t="str">
        <f t="shared" si="6"/>
        <v>Is there a contingency plan in place for continued testing in the event of prolonged electricity disruption (e.g., power outage lasting several days)?</v>
      </c>
      <c r="B475" s="26" t="s">
        <v>1676</v>
      </c>
      <c r="C475" s="26" t="s">
        <v>1677</v>
      </c>
      <c r="D475" s="279" t="s">
        <v>1678</v>
      </c>
      <c r="E475" s="524" t="s">
        <v>1679</v>
      </c>
    </row>
    <row r="476" spans="1:6" ht="303.60000000000002">
      <c r="A476" s="286" t="str">
        <f t="shared" si="6"/>
        <v>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v>
      </c>
      <c r="B476" s="26" t="s">
        <v>1680</v>
      </c>
      <c r="C476" s="352" t="s">
        <v>1681</v>
      </c>
      <c r="D476" s="164" t="s">
        <v>1682</v>
      </c>
      <c r="E476" s="524" t="s">
        <v>1683</v>
      </c>
    </row>
    <row r="477" spans="1:6" ht="27.6">
      <c r="A477" s="286" t="str">
        <f t="shared" si="6"/>
        <v>Describe the internet service in the laboratory</v>
      </c>
      <c r="B477" s="26" t="s">
        <v>1684</v>
      </c>
      <c r="C477" s="26" t="s">
        <v>1685</v>
      </c>
      <c r="D477" s="279" t="s">
        <v>1686</v>
      </c>
      <c r="E477" s="524" t="s">
        <v>1687</v>
      </c>
    </row>
    <row r="478" spans="1:6" ht="55.2">
      <c r="A478" s="286" t="str">
        <f t="shared" si="6"/>
        <v>1: Continuous (service interruptions are rare) - 2: Sporadic (service interruptions are common) - 3: No internet available</v>
      </c>
      <c r="B478" s="26" t="s">
        <v>1688</v>
      </c>
      <c r="C478" s="26" t="s">
        <v>1689</v>
      </c>
      <c r="D478" s="279" t="s">
        <v>1690</v>
      </c>
      <c r="E478" s="524" t="s">
        <v>1691</v>
      </c>
    </row>
    <row r="479" spans="1:6" ht="27.6">
      <c r="A479" s="286" t="str">
        <f t="shared" si="6"/>
        <v>GENERAL EQUIPMENT AVAILABILITY</v>
      </c>
      <c r="B479" s="26" t="s">
        <v>393</v>
      </c>
      <c r="C479" s="26" t="s">
        <v>1692</v>
      </c>
      <c r="D479" s="279" t="s">
        <v>1693</v>
      </c>
      <c r="E479" s="524" t="s">
        <v>1694</v>
      </c>
    </row>
    <row r="480" spans="1:6" s="383" customFormat="1" ht="151.80000000000001">
      <c r="A480" s="286" t="str">
        <f t="shared" si="6"/>
        <v>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v>
      </c>
      <c r="B480" s="304" t="s">
        <v>1695</v>
      </c>
      <c r="C480" s="381" t="s">
        <v>1696</v>
      </c>
      <c r="D480" s="382" t="s">
        <v>1697</v>
      </c>
      <c r="E480" s="524" t="s">
        <v>1698</v>
      </c>
      <c r="F480" s="544"/>
    </row>
    <row r="481" spans="1:5" ht="41.4">
      <c r="A481" s="286" t="str">
        <f t="shared" ref="A481:A544" si="7">IF(langue=1,B481,IF(langue=2,C481,IF(langue=3,D481,IF(langue=4,E481,F481))))</f>
        <v>McFarland QC standards of known densities, including 0.5, not expired</v>
      </c>
      <c r="B481" s="26" t="s">
        <v>923</v>
      </c>
      <c r="C481" s="351" t="s">
        <v>924</v>
      </c>
      <c r="D481" s="71" t="s">
        <v>925</v>
      </c>
      <c r="E481" s="524" t="s">
        <v>1699</v>
      </c>
    </row>
    <row r="482" spans="1:5" ht="27.6">
      <c r="A482" s="286" t="str">
        <f t="shared" si="7"/>
        <v>Ruler or caliper with millimeter markings</v>
      </c>
      <c r="B482" s="26" t="s">
        <v>927</v>
      </c>
      <c r="C482" s="26" t="s">
        <v>928</v>
      </c>
      <c r="D482" s="71" t="s">
        <v>929</v>
      </c>
      <c r="E482" s="524" t="s">
        <v>930</v>
      </c>
    </row>
    <row r="483" spans="1:5">
      <c r="A483" s="286" t="str">
        <f t="shared" si="7"/>
        <v>Bunsen burners or micro-incinerators</v>
      </c>
      <c r="B483" s="26" t="s">
        <v>931</v>
      </c>
      <c r="C483" s="26" t="s">
        <v>932</v>
      </c>
      <c r="D483" s="279" t="s">
        <v>933</v>
      </c>
      <c r="E483" s="524" t="s">
        <v>934</v>
      </c>
    </row>
    <row r="484" spans="1:5" ht="27.6">
      <c r="A484" s="286" t="str">
        <f t="shared" si="7"/>
        <v>Calibrated 1µL or 10µL loops (for plating urine cultures)</v>
      </c>
      <c r="B484" s="26" t="s">
        <v>1700</v>
      </c>
      <c r="C484" s="26" t="s">
        <v>1701</v>
      </c>
      <c r="D484" s="279" t="s">
        <v>1702</v>
      </c>
      <c r="E484" s="524" t="s">
        <v>1703</v>
      </c>
    </row>
    <row r="485" spans="1:5" ht="41.4">
      <c r="A485" s="286" t="str">
        <f t="shared" si="7"/>
        <v>Optical densitometer/turbidimeter (for determining McFarland density)</v>
      </c>
      <c r="B485" s="26" t="s">
        <v>939</v>
      </c>
      <c r="C485" s="26" t="s">
        <v>940</v>
      </c>
      <c r="D485" s="71" t="s">
        <v>941</v>
      </c>
      <c r="E485" s="524" t="s">
        <v>1704</v>
      </c>
    </row>
    <row r="486" spans="1:5">
      <c r="A486" s="286" t="str">
        <f t="shared" si="7"/>
        <v>Microliter pipettes (e.g., Eppendorf)</v>
      </c>
      <c r="B486" s="26" t="s">
        <v>943</v>
      </c>
      <c r="C486" s="26" t="s">
        <v>944</v>
      </c>
      <c r="D486" s="279" t="s">
        <v>945</v>
      </c>
      <c r="E486" s="524" t="s">
        <v>1705</v>
      </c>
    </row>
    <row r="487" spans="1:5" ht="27.6">
      <c r="A487" s="286" t="str">
        <f t="shared" si="7"/>
        <v>Centrifuge (not used for TB cultures)</v>
      </c>
      <c r="B487" s="26" t="s">
        <v>947</v>
      </c>
      <c r="C487" s="26" t="s">
        <v>1706</v>
      </c>
      <c r="D487" s="279" t="s">
        <v>949</v>
      </c>
      <c r="E487" s="524" t="s">
        <v>950</v>
      </c>
    </row>
    <row r="488" spans="1:5">
      <c r="A488" s="286" t="str">
        <f t="shared" si="7"/>
        <v>Microscope</v>
      </c>
      <c r="B488" s="26" t="s">
        <v>951</v>
      </c>
      <c r="C488" s="26" t="s">
        <v>1707</v>
      </c>
      <c r="D488" s="279" t="s">
        <v>952</v>
      </c>
      <c r="E488" s="524" t="s">
        <v>953</v>
      </c>
    </row>
    <row r="489" spans="1:5">
      <c r="A489" s="286" t="str">
        <f t="shared" si="7"/>
        <v>Thermometers</v>
      </c>
      <c r="B489" s="26" t="s">
        <v>954</v>
      </c>
      <c r="C489" s="26" t="s">
        <v>955</v>
      </c>
      <c r="D489" s="279" t="s">
        <v>956</v>
      </c>
      <c r="E489" s="524" t="s">
        <v>957</v>
      </c>
    </row>
    <row r="490" spans="1:5">
      <c r="A490" s="286" t="str">
        <f t="shared" si="7"/>
        <v>CO2 incubators</v>
      </c>
      <c r="B490" s="26" t="s">
        <v>958</v>
      </c>
      <c r="C490" s="26" t="s">
        <v>1708</v>
      </c>
      <c r="D490" s="279" t="s">
        <v>960</v>
      </c>
      <c r="E490" s="524" t="s">
        <v>960</v>
      </c>
    </row>
    <row r="491" spans="1:5">
      <c r="A491" s="286" t="str">
        <f t="shared" si="7"/>
        <v>Candle jars</v>
      </c>
      <c r="B491" s="26" t="s">
        <v>961</v>
      </c>
      <c r="C491" s="26" t="s">
        <v>1709</v>
      </c>
      <c r="D491" s="164" t="s">
        <v>963</v>
      </c>
      <c r="E491" s="524" t="s">
        <v>964</v>
      </c>
    </row>
    <row r="492" spans="1:5" ht="27.6">
      <c r="A492" s="286" t="str">
        <f t="shared" si="7"/>
        <v>Ambient (non-CO2) incubator</v>
      </c>
      <c r="B492" s="26" t="s">
        <v>965</v>
      </c>
      <c r="C492" s="26" t="s">
        <v>1710</v>
      </c>
      <c r="D492" s="164" t="s">
        <v>967</v>
      </c>
      <c r="E492" s="524" t="s">
        <v>968</v>
      </c>
    </row>
    <row r="493" spans="1:5">
      <c r="A493" s="286" t="str">
        <f t="shared" si="7"/>
        <v>Refrigerator (2-8°C)</v>
      </c>
      <c r="B493" s="26" t="s">
        <v>969</v>
      </c>
      <c r="C493" s="26" t="s">
        <v>970</v>
      </c>
      <c r="D493" s="279" t="s">
        <v>1711</v>
      </c>
      <c r="E493" s="524" t="s">
        <v>972</v>
      </c>
    </row>
    <row r="494" spans="1:5">
      <c r="A494" s="286" t="str">
        <f t="shared" si="7"/>
        <v xml:space="preserve">Non-defrosting freezer, -20°C </v>
      </c>
      <c r="B494" s="26" t="s">
        <v>973</v>
      </c>
      <c r="C494" s="26" t="s">
        <v>974</v>
      </c>
      <c r="D494" s="164" t="s">
        <v>975</v>
      </c>
      <c r="E494" s="524" t="s">
        <v>1712</v>
      </c>
    </row>
    <row r="495" spans="1:5">
      <c r="A495" s="286" t="str">
        <f t="shared" si="7"/>
        <v>Non-defrosting freezer, -60°C</v>
      </c>
      <c r="B495" s="26" t="s">
        <v>977</v>
      </c>
      <c r="C495" s="26" t="s">
        <v>978</v>
      </c>
      <c r="D495" s="164" t="s">
        <v>979</v>
      </c>
      <c r="E495" s="524" t="s">
        <v>1713</v>
      </c>
    </row>
    <row r="496" spans="1:5">
      <c r="A496" s="286" t="str">
        <f t="shared" si="7"/>
        <v xml:space="preserve">Non-defrosting freezer, -80°C </v>
      </c>
      <c r="B496" s="26" t="s">
        <v>981</v>
      </c>
      <c r="C496" s="26" t="s">
        <v>982</v>
      </c>
      <c r="D496" s="164" t="s">
        <v>983</v>
      </c>
      <c r="E496" s="524" t="s">
        <v>1714</v>
      </c>
    </row>
    <row r="497" spans="1:5" ht="41.4">
      <c r="A497" s="286" t="str">
        <f t="shared" si="7"/>
        <v>Rechargeable desiccants (for storage of open antibiotic disks and strips)</v>
      </c>
      <c r="B497" s="26" t="s">
        <v>985</v>
      </c>
      <c r="C497" s="26" t="s">
        <v>986</v>
      </c>
      <c r="D497" s="281" t="s">
        <v>987</v>
      </c>
      <c r="E497" s="524" t="s">
        <v>1715</v>
      </c>
    </row>
    <row r="498" spans="1:5" ht="27.6">
      <c r="A498" s="286" t="str">
        <f t="shared" si="7"/>
        <v>Hot air oven (for drying saturated desiccants)</v>
      </c>
      <c r="B498" s="26" t="s">
        <v>989</v>
      </c>
      <c r="C498" s="26" t="s">
        <v>990</v>
      </c>
      <c r="D498" s="71" t="s">
        <v>991</v>
      </c>
      <c r="E498" s="524" t="s">
        <v>1716</v>
      </c>
    </row>
    <row r="499" spans="1:5" ht="27.6">
      <c r="A499" s="286" t="str">
        <f t="shared" si="7"/>
        <v>Biological Safety Cabinet Class IIA</v>
      </c>
      <c r="B499" s="26" t="s">
        <v>993</v>
      </c>
      <c r="C499" s="26" t="s">
        <v>994</v>
      </c>
      <c r="D499" s="281" t="s">
        <v>995</v>
      </c>
      <c r="E499" s="524" t="s">
        <v>996</v>
      </c>
    </row>
    <row r="500" spans="1:5" ht="27.6">
      <c r="A500" s="286" t="str">
        <f t="shared" si="7"/>
        <v>Autoclave for media preparation ("clean" autoclave)</v>
      </c>
      <c r="B500" s="26" t="s">
        <v>997</v>
      </c>
      <c r="C500" s="26" t="s">
        <v>1717</v>
      </c>
      <c r="D500" s="281" t="s">
        <v>999</v>
      </c>
      <c r="E500" s="524" t="s">
        <v>1000</v>
      </c>
    </row>
    <row r="501" spans="1:5" ht="27.6">
      <c r="A501" s="286" t="str">
        <f t="shared" si="7"/>
        <v>Autoclave for sterlizing waste ("dirty" autoclave)</v>
      </c>
      <c r="B501" s="26" t="s">
        <v>1001</v>
      </c>
      <c r="C501" s="26" t="s">
        <v>1002</v>
      </c>
      <c r="D501" s="281" t="s">
        <v>1003</v>
      </c>
      <c r="E501" s="524" t="s">
        <v>1004</v>
      </c>
    </row>
    <row r="502" spans="1:5" ht="27.6">
      <c r="A502" s="286" t="str">
        <f t="shared" si="7"/>
        <v>MEDIA PREPARATION EQUIPMENT AVAILABILITY</v>
      </c>
      <c r="B502" s="26" t="s">
        <v>397</v>
      </c>
      <c r="C502" s="26" t="s">
        <v>398</v>
      </c>
      <c r="D502" s="279" t="s">
        <v>399</v>
      </c>
      <c r="E502" s="524" t="s">
        <v>1718</v>
      </c>
    </row>
    <row r="503" spans="1:5" ht="55.2">
      <c r="A503" s="286" t="str">
        <f t="shared" si="7"/>
        <v>Does the lab prepare any media or distilled water? (e.g., blood agar, Mueller Hinton agar, blood culture bottles)</v>
      </c>
      <c r="B503" s="26" t="s">
        <v>1719</v>
      </c>
      <c r="C503" s="26" t="s">
        <v>1720</v>
      </c>
      <c r="D503" s="279" t="s">
        <v>1721</v>
      </c>
      <c r="E503" s="524" t="s">
        <v>1722</v>
      </c>
    </row>
    <row r="504" spans="1:5" ht="27.6">
      <c r="A504" s="286" t="str">
        <f t="shared" si="7"/>
        <v>If No, answer NA until next section</v>
      </c>
      <c r="B504" s="26" t="s">
        <v>1723</v>
      </c>
      <c r="C504" s="26" t="s">
        <v>1724</v>
      </c>
      <c r="D504" s="279" t="s">
        <v>1725</v>
      </c>
      <c r="E504" s="524" t="s">
        <v>1726</v>
      </c>
    </row>
    <row r="505" spans="1:5" ht="96.6">
      <c r="A505" s="286" t="str">
        <f t="shared" si="7"/>
        <v>Indicate whether the lab is currently using the following FUNCTIONAL pieces of equipment. If the lab has only non-functional equipment, select "No" and note "non-functional" in the comments.</v>
      </c>
      <c r="B505" s="26" t="s">
        <v>1727</v>
      </c>
      <c r="C505" s="352" t="s">
        <v>1728</v>
      </c>
      <c r="D505" s="279" t="s">
        <v>1729</v>
      </c>
      <c r="E505" s="524" t="s">
        <v>1730</v>
      </c>
    </row>
    <row r="506" spans="1:5">
      <c r="A506" s="286" t="str">
        <f t="shared" si="7"/>
        <v>pH meter</v>
      </c>
      <c r="B506" s="26" t="s">
        <v>1009</v>
      </c>
      <c r="C506" s="26" t="s">
        <v>1010</v>
      </c>
      <c r="D506" s="281" t="s">
        <v>1011</v>
      </c>
      <c r="E506" s="524" t="s">
        <v>1731</v>
      </c>
    </row>
    <row r="507" spans="1:5">
      <c r="A507" s="286" t="str">
        <f t="shared" si="7"/>
        <v>Weighing balance</v>
      </c>
      <c r="B507" s="26" t="s">
        <v>1013</v>
      </c>
      <c r="C507" s="26" t="s">
        <v>1014</v>
      </c>
      <c r="D507" s="280" t="s">
        <v>1015</v>
      </c>
      <c r="E507" s="524" t="s">
        <v>1016</v>
      </c>
    </row>
    <row r="508" spans="1:5">
      <c r="A508" s="286" t="str">
        <f t="shared" si="7"/>
        <v>Conductivity meter</v>
      </c>
      <c r="B508" s="26" t="s">
        <v>1017</v>
      </c>
      <c r="C508" s="26" t="s">
        <v>1018</v>
      </c>
      <c r="D508" s="280" t="s">
        <v>1019</v>
      </c>
      <c r="E508" s="524" t="s">
        <v>1020</v>
      </c>
    </row>
    <row r="509" spans="1:5" ht="27.6">
      <c r="A509" s="286" t="str">
        <f t="shared" si="7"/>
        <v>Distiller/reverse osmosis equipment</v>
      </c>
      <c r="B509" s="26" t="s">
        <v>1732</v>
      </c>
      <c r="C509" s="26" t="s">
        <v>1733</v>
      </c>
      <c r="D509" s="280" t="s">
        <v>1023</v>
      </c>
      <c r="E509" s="524" t="s">
        <v>1734</v>
      </c>
    </row>
    <row r="510" spans="1:5" ht="41.4">
      <c r="A510" s="286" t="str">
        <f t="shared" si="7"/>
        <v>Hot plate with magnetic stir bar (for mixing powdered media)</v>
      </c>
      <c r="B510" s="26" t="s">
        <v>1025</v>
      </c>
      <c r="C510" s="26" t="s">
        <v>1026</v>
      </c>
      <c r="D510" s="280" t="s">
        <v>1027</v>
      </c>
      <c r="E510" s="524" t="s">
        <v>1735</v>
      </c>
    </row>
    <row r="511" spans="1:5">
      <c r="A511" s="286" t="str">
        <f t="shared" si="7"/>
        <v>Water bath</v>
      </c>
      <c r="B511" s="26" t="s">
        <v>1029</v>
      </c>
      <c r="C511" s="26" t="s">
        <v>1736</v>
      </c>
      <c r="D511" s="279" t="s">
        <v>1031</v>
      </c>
      <c r="E511" s="524" t="s">
        <v>1737</v>
      </c>
    </row>
    <row r="512" spans="1:5" ht="27.6">
      <c r="A512" s="286" t="str">
        <f t="shared" si="7"/>
        <v>EQUIPMENT CALIBRATION  RECORDS</v>
      </c>
      <c r="B512" s="26" t="s">
        <v>401</v>
      </c>
      <c r="C512" s="26" t="s">
        <v>402</v>
      </c>
      <c r="D512" s="279" t="s">
        <v>1738</v>
      </c>
      <c r="E512" s="524" t="s">
        <v>404</v>
      </c>
    </row>
    <row r="513" spans="1:6" s="383" customFormat="1" ht="69">
      <c r="A513" s="286" t="str">
        <f t="shared" si="7"/>
        <v>Review the calibration records for each piece of equipment. Has calibration been performed within the last year?   (Select NA only if the lab does not have the equipment.)</v>
      </c>
      <c r="B513" s="304" t="s">
        <v>1739</v>
      </c>
      <c r="C513" s="304" t="s">
        <v>1740</v>
      </c>
      <c r="D513" s="382" t="s">
        <v>1741</v>
      </c>
      <c r="E513" s="524" t="s">
        <v>1742</v>
      </c>
      <c r="F513" s="544"/>
    </row>
    <row r="514" spans="1:6" ht="27.6">
      <c r="A514" s="286" t="str">
        <f t="shared" si="7"/>
        <v>Optical Densitometer (for determining McFarland density)</v>
      </c>
      <c r="B514" s="26" t="s">
        <v>1743</v>
      </c>
      <c r="C514" s="26" t="s">
        <v>1744</v>
      </c>
      <c r="D514" s="164" t="s">
        <v>1745</v>
      </c>
      <c r="E514" s="524" t="s">
        <v>1746</v>
      </c>
    </row>
    <row r="515" spans="1:6">
      <c r="A515" s="286" t="str">
        <f t="shared" si="7"/>
        <v>Microliter pipettes (e.g., Eppendorf)</v>
      </c>
      <c r="B515" s="26" t="s">
        <v>943</v>
      </c>
      <c r="C515" s="26" t="s">
        <v>1747</v>
      </c>
      <c r="D515" s="279" t="s">
        <v>945</v>
      </c>
      <c r="E515" s="524" t="s">
        <v>1748</v>
      </c>
    </row>
    <row r="516" spans="1:6">
      <c r="A516" s="286" t="str">
        <f t="shared" si="7"/>
        <v>Centrifuge</v>
      </c>
      <c r="B516" s="26" t="s">
        <v>1749</v>
      </c>
      <c r="C516" s="26" t="s">
        <v>1750</v>
      </c>
      <c r="D516" s="279" t="s">
        <v>1751</v>
      </c>
      <c r="E516" s="524" t="s">
        <v>1751</v>
      </c>
    </row>
    <row r="517" spans="1:6">
      <c r="A517" s="286" t="str">
        <f t="shared" si="7"/>
        <v>Thermometers</v>
      </c>
      <c r="B517" s="26" t="s">
        <v>954</v>
      </c>
      <c r="C517" s="26" t="s">
        <v>955</v>
      </c>
      <c r="D517" s="279" t="s">
        <v>956</v>
      </c>
      <c r="E517" s="524" t="s">
        <v>957</v>
      </c>
    </row>
    <row r="518" spans="1:6">
      <c r="A518" s="286" t="str">
        <f t="shared" si="7"/>
        <v>pH meter</v>
      </c>
      <c r="B518" s="26" t="s">
        <v>1009</v>
      </c>
      <c r="C518" s="26" t="s">
        <v>1010</v>
      </c>
      <c r="D518" s="279" t="s">
        <v>1011</v>
      </c>
      <c r="E518" s="524" t="s">
        <v>1731</v>
      </c>
    </row>
    <row r="519" spans="1:6">
      <c r="A519" s="286" t="str">
        <f t="shared" si="7"/>
        <v>Conductivity meter</v>
      </c>
      <c r="B519" s="26" t="s">
        <v>1017</v>
      </c>
      <c r="C519" s="26" t="s">
        <v>1018</v>
      </c>
      <c r="D519" s="279" t="s">
        <v>1019</v>
      </c>
      <c r="E519" s="524" t="s">
        <v>1020</v>
      </c>
    </row>
    <row r="520" spans="1:6">
      <c r="A520" s="286" t="str">
        <f t="shared" si="7"/>
        <v>CO2 incubator</v>
      </c>
      <c r="B520" s="26" t="s">
        <v>1752</v>
      </c>
      <c r="C520" s="26" t="s">
        <v>959</v>
      </c>
      <c r="D520" s="279" t="s">
        <v>1753</v>
      </c>
      <c r="E520" s="524" t="s">
        <v>1753</v>
      </c>
    </row>
    <row r="521" spans="1:6" ht="27.6">
      <c r="A521" s="286" t="str">
        <f t="shared" si="7"/>
        <v>Ambient (non-CO2) incubator</v>
      </c>
      <c r="B521" s="26" t="s">
        <v>965</v>
      </c>
      <c r="C521" s="26" t="s">
        <v>1710</v>
      </c>
      <c r="D521" s="164" t="s">
        <v>967</v>
      </c>
      <c r="E521" s="524" t="s">
        <v>968</v>
      </c>
    </row>
    <row r="522" spans="1:6" ht="27.6">
      <c r="A522" s="286" t="str">
        <f t="shared" si="7"/>
        <v>Hot air oven for recharging desiccants</v>
      </c>
      <c r="B522" s="26" t="s">
        <v>1754</v>
      </c>
      <c r="C522" s="26" t="s">
        <v>1755</v>
      </c>
      <c r="D522" s="164" t="s">
        <v>1756</v>
      </c>
      <c r="E522" s="524" t="s">
        <v>1716</v>
      </c>
    </row>
    <row r="523" spans="1:6" ht="27.6">
      <c r="A523" s="286" t="str">
        <f t="shared" si="7"/>
        <v>Biological Safety Cabinet Class IIA</v>
      </c>
      <c r="B523" s="26" t="s">
        <v>993</v>
      </c>
      <c r="C523" s="26" t="s">
        <v>994</v>
      </c>
      <c r="D523" s="281" t="s">
        <v>995</v>
      </c>
      <c r="E523" s="524" t="s">
        <v>996</v>
      </c>
    </row>
    <row r="524" spans="1:6">
      <c r="A524" s="286" t="str">
        <f t="shared" si="7"/>
        <v>Weighing balance</v>
      </c>
      <c r="B524" s="26" t="s">
        <v>1013</v>
      </c>
      <c r="C524" s="26" t="s">
        <v>1014</v>
      </c>
      <c r="D524" s="279" t="s">
        <v>1015</v>
      </c>
      <c r="E524" s="524" t="s">
        <v>1016</v>
      </c>
    </row>
    <row r="525" spans="1:6">
      <c r="A525" s="286" t="str">
        <f t="shared" si="7"/>
        <v>Water bath</v>
      </c>
      <c r="B525" s="26" t="s">
        <v>1029</v>
      </c>
      <c r="C525" s="26" t="s">
        <v>1030</v>
      </c>
      <c r="D525" s="279" t="s">
        <v>1031</v>
      </c>
      <c r="E525" s="524" t="s">
        <v>1757</v>
      </c>
    </row>
    <row r="526" spans="1:6">
      <c r="A526" s="286" t="str">
        <f t="shared" si="7"/>
        <v>THERMOMETERS</v>
      </c>
      <c r="B526" s="26" t="s">
        <v>405</v>
      </c>
      <c r="C526" s="26" t="s">
        <v>406</v>
      </c>
      <c r="D526" s="279" t="s">
        <v>407</v>
      </c>
      <c r="E526" s="524" t="s">
        <v>408</v>
      </c>
    </row>
    <row r="527" spans="1:6" ht="69">
      <c r="A527" s="286" t="str">
        <f t="shared" si="7"/>
        <v>Indicate if manual (non-digital) thermometers are present inside each piece of equipment. (Select NA if the lab does not have the equipment.)</v>
      </c>
      <c r="B527" s="26" t="s">
        <v>1758</v>
      </c>
      <c r="C527" s="26" t="s">
        <v>1759</v>
      </c>
      <c r="D527" s="279" t="s">
        <v>1760</v>
      </c>
      <c r="E527" s="524" t="s">
        <v>1761</v>
      </c>
    </row>
    <row r="528" spans="1:6">
      <c r="A528" s="286" t="str">
        <f t="shared" si="7"/>
        <v>CO2 incubator</v>
      </c>
      <c r="B528" s="26" t="s">
        <v>1752</v>
      </c>
      <c r="C528" s="26" t="s">
        <v>1762</v>
      </c>
      <c r="D528" s="279" t="s">
        <v>1753</v>
      </c>
      <c r="E528" s="524" t="s">
        <v>1753</v>
      </c>
    </row>
    <row r="529" spans="1:5" ht="27.6">
      <c r="A529" s="286" t="str">
        <f t="shared" si="7"/>
        <v>Ambient (non-CO2) incubator</v>
      </c>
      <c r="B529" s="26" t="s">
        <v>965</v>
      </c>
      <c r="C529" s="26" t="s">
        <v>1763</v>
      </c>
      <c r="D529" s="164" t="s">
        <v>967</v>
      </c>
      <c r="E529" s="524" t="s">
        <v>968</v>
      </c>
    </row>
    <row r="530" spans="1:5">
      <c r="A530" s="286" t="str">
        <f t="shared" si="7"/>
        <v>Refrigerator (2-8°C)</v>
      </c>
      <c r="B530" s="26" t="s">
        <v>969</v>
      </c>
      <c r="C530" s="26" t="s">
        <v>970</v>
      </c>
      <c r="D530" s="279" t="s">
        <v>1711</v>
      </c>
      <c r="E530" s="524" t="s">
        <v>972</v>
      </c>
    </row>
    <row r="531" spans="1:5">
      <c r="A531" s="286" t="str">
        <f t="shared" si="7"/>
        <v xml:space="preserve">Non-defrosting freezer, -20°C </v>
      </c>
      <c r="B531" s="26" t="s">
        <v>973</v>
      </c>
      <c r="C531" s="26" t="s">
        <v>974</v>
      </c>
      <c r="D531" s="164" t="s">
        <v>975</v>
      </c>
      <c r="E531" s="524" t="s">
        <v>1712</v>
      </c>
    </row>
    <row r="532" spans="1:5">
      <c r="A532" s="286" t="str">
        <f t="shared" si="7"/>
        <v xml:space="preserve">Non-defrosting freezer, -60°C </v>
      </c>
      <c r="B532" s="164" t="s">
        <v>1764</v>
      </c>
      <c r="C532" s="26" t="s">
        <v>978</v>
      </c>
      <c r="D532" s="164" t="s">
        <v>979</v>
      </c>
      <c r="E532" s="524" t="s">
        <v>1713</v>
      </c>
    </row>
    <row r="533" spans="1:5">
      <c r="A533" s="286" t="str">
        <f t="shared" si="7"/>
        <v xml:space="preserve">Non-defrosting freezer, -80°C </v>
      </c>
      <c r="B533" s="26" t="s">
        <v>981</v>
      </c>
      <c r="C533" s="26" t="s">
        <v>982</v>
      </c>
      <c r="D533" s="164" t="s">
        <v>983</v>
      </c>
      <c r="E533" s="524" t="s">
        <v>1714</v>
      </c>
    </row>
    <row r="534" spans="1:5" ht="27.6">
      <c r="A534" s="286" t="str">
        <f t="shared" si="7"/>
        <v>Hot air oven (for recharging desiccants)</v>
      </c>
      <c r="B534" s="26" t="s">
        <v>1765</v>
      </c>
      <c r="C534" s="26" t="s">
        <v>1766</v>
      </c>
      <c r="D534" s="164" t="s">
        <v>1767</v>
      </c>
      <c r="E534" s="524" t="s">
        <v>1716</v>
      </c>
    </row>
    <row r="535" spans="1:5" ht="41.4">
      <c r="A535" s="286" t="str">
        <f t="shared" si="7"/>
        <v>Hot plate with magnetic stir bar (for mixing powdered media)</v>
      </c>
      <c r="B535" s="26" t="s">
        <v>1025</v>
      </c>
      <c r="C535" s="26" t="s">
        <v>1026</v>
      </c>
      <c r="D535" s="280" t="s">
        <v>1027</v>
      </c>
      <c r="E535" s="524" t="s">
        <v>1735</v>
      </c>
    </row>
    <row r="536" spans="1:5">
      <c r="A536" s="286" t="str">
        <f t="shared" si="7"/>
        <v>Water bath</v>
      </c>
      <c r="B536" s="26" t="s">
        <v>1029</v>
      </c>
      <c r="C536" s="26" t="s">
        <v>1030</v>
      </c>
      <c r="D536" s="279" t="s">
        <v>1031</v>
      </c>
      <c r="E536" s="524" t="s">
        <v>1757</v>
      </c>
    </row>
    <row r="537" spans="1:5" ht="27.6">
      <c r="A537" s="286" t="str">
        <f t="shared" si="7"/>
        <v>TEMPERATURE AND ATMOSPHERE MONITORING</v>
      </c>
      <c r="B537" s="26" t="s">
        <v>409</v>
      </c>
      <c r="C537" s="26" t="s">
        <v>410</v>
      </c>
      <c r="D537" s="164" t="s">
        <v>1768</v>
      </c>
      <c r="E537" s="524" t="s">
        <v>412</v>
      </c>
    </row>
    <row r="538" spans="1:5" ht="124.2">
      <c r="A538" s="286" t="str">
        <f t="shared" si="7"/>
        <v>Observe if acceptable min/max temperature ranges have been clearly defined on record sheets for the following areas/equipment and if temperature checks are documented daily. Tick NA if the piece of equipment in question is not in use in the lab.</v>
      </c>
      <c r="B538" s="164" t="s">
        <v>1769</v>
      </c>
      <c r="C538" s="352" t="s">
        <v>1770</v>
      </c>
      <c r="D538" s="164" t="s">
        <v>1771</v>
      </c>
      <c r="E538" s="524" t="s">
        <v>1772</v>
      </c>
    </row>
    <row r="539" spans="1:5">
      <c r="A539" s="286" t="str">
        <f t="shared" si="7"/>
        <v>Room temperature</v>
      </c>
      <c r="B539" s="26" t="s">
        <v>1773</v>
      </c>
      <c r="C539" s="26" t="s">
        <v>1774</v>
      </c>
      <c r="D539" s="279" t="s">
        <v>1775</v>
      </c>
      <c r="E539" s="524" t="s">
        <v>1776</v>
      </c>
    </row>
    <row r="540" spans="1:5" ht="27.6">
      <c r="A540" s="286" t="str">
        <f t="shared" si="7"/>
        <v>Are temperatures recorded each day of use?</v>
      </c>
      <c r="B540" s="26" t="s">
        <v>1777</v>
      </c>
      <c r="C540" s="26" t="s">
        <v>1778</v>
      </c>
      <c r="D540" s="279" t="s">
        <v>1779</v>
      </c>
      <c r="E540" s="524" t="s">
        <v>1780</v>
      </c>
    </row>
    <row r="541" spans="1:5" ht="55.2">
      <c r="A541" s="286" t="str">
        <f t="shared" si="7"/>
        <v>Is the acceptable temperature range (the minimum and maximum) clearly defined on the record sheet?</v>
      </c>
      <c r="B541" s="26" t="s">
        <v>1781</v>
      </c>
      <c r="C541" s="26" t="s">
        <v>1782</v>
      </c>
      <c r="D541" s="279" t="s">
        <v>1783</v>
      </c>
      <c r="E541" s="524" t="s">
        <v>1784</v>
      </c>
    </row>
    <row r="542" spans="1:5">
      <c r="A542" s="286" t="str">
        <f t="shared" si="7"/>
        <v>Freezers, -20°C</v>
      </c>
      <c r="B542" s="26" t="s">
        <v>1785</v>
      </c>
      <c r="C542" s="26" t="s">
        <v>1786</v>
      </c>
      <c r="D542" s="279" t="s">
        <v>1787</v>
      </c>
      <c r="E542" s="524" t="s">
        <v>1787</v>
      </c>
    </row>
    <row r="543" spans="1:5" ht="27.6">
      <c r="A543" s="286" t="str">
        <f t="shared" si="7"/>
        <v>Are temperatures recorded each day of use?</v>
      </c>
      <c r="B543" s="164" t="s">
        <v>1777</v>
      </c>
      <c r="C543" s="26" t="s">
        <v>1778</v>
      </c>
      <c r="D543" s="164" t="s">
        <v>1788</v>
      </c>
      <c r="E543" s="524" t="s">
        <v>1780</v>
      </c>
    </row>
    <row r="544" spans="1:5" ht="55.2">
      <c r="A544" s="286" t="str">
        <f t="shared" si="7"/>
        <v>Is the acceptable temperature range (the minimum and maximum) clearly defined on the record sheet?</v>
      </c>
      <c r="B544" s="26" t="s">
        <v>1781</v>
      </c>
      <c r="C544" s="26" t="s">
        <v>1782</v>
      </c>
      <c r="D544" s="279" t="s">
        <v>1783</v>
      </c>
      <c r="E544" s="524" t="s">
        <v>1784</v>
      </c>
    </row>
    <row r="545" spans="1:5">
      <c r="A545" s="286" t="str">
        <f t="shared" ref="A545:A608" si="8">IF(langue=1,B545,IF(langue=2,C545,IF(langue=3,D545,IF(langue=4,E545,F545))))</f>
        <v>Freezers, -60°C</v>
      </c>
      <c r="B545" s="26" t="s">
        <v>1789</v>
      </c>
      <c r="C545" s="26" t="s">
        <v>1790</v>
      </c>
      <c r="D545" s="279" t="s">
        <v>1791</v>
      </c>
      <c r="E545" s="524" t="s">
        <v>1791</v>
      </c>
    </row>
    <row r="546" spans="1:5" ht="27.6">
      <c r="A546" s="286" t="str">
        <f t="shared" si="8"/>
        <v>Are temperatures recorded each day of use?</v>
      </c>
      <c r="B546" s="26" t="s">
        <v>1777</v>
      </c>
      <c r="C546" s="26" t="s">
        <v>1778</v>
      </c>
      <c r="D546" s="279" t="s">
        <v>1788</v>
      </c>
      <c r="E546" s="524" t="s">
        <v>1780</v>
      </c>
    </row>
    <row r="547" spans="1:5" ht="55.2">
      <c r="A547" s="286" t="str">
        <f t="shared" si="8"/>
        <v>Is the acceptable temperature range (the minimum and maximum) clearly defined on the record sheet?</v>
      </c>
      <c r="B547" s="26" t="s">
        <v>1781</v>
      </c>
      <c r="C547" s="26" t="s">
        <v>1782</v>
      </c>
      <c r="D547" s="279" t="s">
        <v>1783</v>
      </c>
      <c r="E547" s="524" t="s">
        <v>1784</v>
      </c>
    </row>
    <row r="548" spans="1:5">
      <c r="A548" s="286" t="str">
        <f t="shared" si="8"/>
        <v>Freezers, -80°C</v>
      </c>
      <c r="B548" s="26" t="s">
        <v>1792</v>
      </c>
      <c r="C548" s="26" t="s">
        <v>1793</v>
      </c>
      <c r="D548" s="279" t="s">
        <v>1794</v>
      </c>
      <c r="E548" s="524" t="s">
        <v>1794</v>
      </c>
    </row>
    <row r="549" spans="1:5" ht="27.6">
      <c r="A549" s="286" t="str">
        <f t="shared" si="8"/>
        <v>Are temperatures recorded each day of use?</v>
      </c>
      <c r="B549" s="26" t="s">
        <v>1777</v>
      </c>
      <c r="C549" s="26" t="s">
        <v>1778</v>
      </c>
      <c r="D549" s="279" t="s">
        <v>1788</v>
      </c>
      <c r="E549" s="524" t="s">
        <v>1780</v>
      </c>
    </row>
    <row r="550" spans="1:5" ht="55.2">
      <c r="A550" s="286" t="str">
        <f t="shared" si="8"/>
        <v>Is the acceptable temperature range (the minimum and maximum) clearly defined on the record sheet?</v>
      </c>
      <c r="B550" s="164" t="s">
        <v>1781</v>
      </c>
      <c r="C550" s="26" t="s">
        <v>1782</v>
      </c>
      <c r="D550" s="164" t="s">
        <v>1783</v>
      </c>
      <c r="E550" s="524" t="s">
        <v>1784</v>
      </c>
    </row>
    <row r="551" spans="1:5">
      <c r="A551" s="286" t="str">
        <f t="shared" si="8"/>
        <v>Refrigerators</v>
      </c>
      <c r="B551" s="26" t="s">
        <v>1795</v>
      </c>
      <c r="C551" s="26" t="s">
        <v>1796</v>
      </c>
      <c r="D551" s="279" t="s">
        <v>1797</v>
      </c>
      <c r="E551" s="524" t="s">
        <v>1798</v>
      </c>
    </row>
    <row r="552" spans="1:5" ht="27.6">
      <c r="A552" s="286" t="str">
        <f t="shared" si="8"/>
        <v>Are temperatures recorded each day of use?</v>
      </c>
      <c r="B552" s="26" t="s">
        <v>1777</v>
      </c>
      <c r="C552" s="26" t="s">
        <v>1778</v>
      </c>
      <c r="D552" s="279" t="s">
        <v>1788</v>
      </c>
      <c r="E552" s="524" t="s">
        <v>1780</v>
      </c>
    </row>
    <row r="553" spans="1:5" ht="55.2">
      <c r="A553" s="286" t="str">
        <f t="shared" si="8"/>
        <v>Is the acceptable temperature range (the minimum and maximum) clearly defined on the record sheet?</v>
      </c>
      <c r="B553" s="26" t="s">
        <v>1781</v>
      </c>
      <c r="C553" s="26" t="s">
        <v>1782</v>
      </c>
      <c r="D553" s="279" t="s">
        <v>1783</v>
      </c>
      <c r="E553" s="524" t="s">
        <v>1784</v>
      </c>
    </row>
    <row r="554" spans="1:5">
      <c r="A554" s="286" t="str">
        <f t="shared" si="8"/>
        <v>Incubators, ambient atmosphere</v>
      </c>
      <c r="B554" s="26" t="s">
        <v>1799</v>
      </c>
      <c r="C554" s="26" t="s">
        <v>1800</v>
      </c>
      <c r="D554" s="164" t="s">
        <v>1801</v>
      </c>
      <c r="E554" s="524" t="s">
        <v>1802</v>
      </c>
    </row>
    <row r="555" spans="1:5" ht="27.6">
      <c r="A555" s="286" t="str">
        <f t="shared" si="8"/>
        <v>Are temperatures recorded each day of use?</v>
      </c>
      <c r="B555" s="26" t="s">
        <v>1777</v>
      </c>
      <c r="C555" s="26" t="s">
        <v>1778</v>
      </c>
      <c r="D555" s="279" t="s">
        <v>1788</v>
      </c>
      <c r="E555" s="524" t="s">
        <v>1780</v>
      </c>
    </row>
    <row r="556" spans="1:5" ht="55.2">
      <c r="A556" s="286" t="str">
        <f t="shared" si="8"/>
        <v>Is the acceptable temperature range (the minimum and maximum) clearly defined on the record sheet?</v>
      </c>
      <c r="B556" s="26" t="s">
        <v>1781</v>
      </c>
      <c r="C556" s="26" t="s">
        <v>1782</v>
      </c>
      <c r="D556" s="279" t="s">
        <v>1783</v>
      </c>
      <c r="E556" s="524" t="s">
        <v>1784</v>
      </c>
    </row>
    <row r="557" spans="1:5">
      <c r="A557" s="286" t="str">
        <f t="shared" si="8"/>
        <v>Incubators, CO2</v>
      </c>
      <c r="B557" s="26" t="s">
        <v>1803</v>
      </c>
      <c r="C557" s="26" t="s">
        <v>1804</v>
      </c>
      <c r="D557" s="279" t="s">
        <v>960</v>
      </c>
      <c r="E557" s="524" t="s">
        <v>960</v>
      </c>
    </row>
    <row r="558" spans="1:5" ht="27.6">
      <c r="A558" s="286" t="str">
        <f t="shared" si="8"/>
        <v>Are temperatures recorded each day of use?</v>
      </c>
      <c r="B558" s="26" t="s">
        <v>1777</v>
      </c>
      <c r="C558" s="26" t="s">
        <v>1778</v>
      </c>
      <c r="D558" s="279" t="s">
        <v>1788</v>
      </c>
      <c r="E558" s="524" t="s">
        <v>1780</v>
      </c>
    </row>
    <row r="559" spans="1:5" ht="55.2">
      <c r="A559" s="286" t="str">
        <f t="shared" si="8"/>
        <v>Is the acceptable temperature range (the minimum and maximum) clearly defined on the record sheet?</v>
      </c>
      <c r="B559" s="26" t="s">
        <v>1781</v>
      </c>
      <c r="C559" s="26" t="s">
        <v>1782</v>
      </c>
      <c r="D559" s="279" t="s">
        <v>1783</v>
      </c>
      <c r="E559" s="524" t="s">
        <v>1784</v>
      </c>
    </row>
    <row r="560" spans="1:5" ht="69">
      <c r="A560" s="286" t="str">
        <f t="shared" si="8"/>
        <v>Are CO2 incubators checked for adequate CO2 levels and documented daily (or each day of use if not used daily)?</v>
      </c>
      <c r="B560" s="26" t="s">
        <v>1805</v>
      </c>
      <c r="C560" s="26" t="s">
        <v>1806</v>
      </c>
      <c r="D560" s="279" t="s">
        <v>1807</v>
      </c>
      <c r="E560" s="524" t="s">
        <v>1808</v>
      </c>
    </row>
    <row r="561" spans="1:5">
      <c r="A561" s="286" t="str">
        <f t="shared" si="8"/>
        <v>Water baths</v>
      </c>
      <c r="B561" s="26" t="s">
        <v>1809</v>
      </c>
      <c r="C561" s="26" t="s">
        <v>1810</v>
      </c>
      <c r="D561" s="279" t="s">
        <v>1811</v>
      </c>
      <c r="E561" s="524" t="s">
        <v>1812</v>
      </c>
    </row>
    <row r="562" spans="1:5" ht="27.6">
      <c r="A562" s="286" t="str">
        <f t="shared" si="8"/>
        <v>Are temperatures recorded each day of use?</v>
      </c>
      <c r="B562" s="26" t="s">
        <v>1777</v>
      </c>
      <c r="C562" s="26" t="s">
        <v>1778</v>
      </c>
      <c r="D562" s="279" t="s">
        <v>1788</v>
      </c>
      <c r="E562" s="524" t="s">
        <v>1780</v>
      </c>
    </row>
    <row r="563" spans="1:5" ht="55.2">
      <c r="A563" s="286" t="str">
        <f t="shared" si="8"/>
        <v>Is the acceptable temperature range (the minimum and maximum) clearly defined on the record sheet?</v>
      </c>
      <c r="B563" s="164" t="s">
        <v>1781</v>
      </c>
      <c r="C563" s="26" t="s">
        <v>1782</v>
      </c>
      <c r="D563" s="164" t="s">
        <v>1783</v>
      </c>
      <c r="E563" s="524" t="s">
        <v>1784</v>
      </c>
    </row>
    <row r="564" spans="1:5" ht="41.4">
      <c r="A564" s="286" t="str">
        <f t="shared" si="8"/>
        <v>Standard: Acceptable ranges should be defined for all temperature dependent equipment</v>
      </c>
      <c r="B564" s="26" t="s">
        <v>1813</v>
      </c>
      <c r="C564" s="350" t="s">
        <v>1814</v>
      </c>
      <c r="D564" s="279" t="s">
        <v>1815</v>
      </c>
      <c r="E564" s="524" t="s">
        <v>1816</v>
      </c>
    </row>
    <row r="565" spans="1:5" ht="41.4">
      <c r="A565" s="286" t="str">
        <f t="shared" si="8"/>
        <v>Is there documentation of corrective action taken in response to out of range temperatures?</v>
      </c>
      <c r="B565" s="26" t="s">
        <v>1817</v>
      </c>
      <c r="C565" s="26" t="s">
        <v>1818</v>
      </c>
      <c r="D565" s="279" t="s">
        <v>1819</v>
      </c>
      <c r="E565" s="524" t="s">
        <v>1820</v>
      </c>
    </row>
    <row r="566" spans="1:5" ht="41.4">
      <c r="A566" s="286" t="str">
        <f t="shared" si="8"/>
        <v>1: Yes - 2: No action is documented - 3: Temperatures are not recorded </v>
      </c>
      <c r="B566" s="26" t="s">
        <v>1821</v>
      </c>
      <c r="C566" s="26" t="s">
        <v>1822</v>
      </c>
      <c r="D566" s="279" t="s">
        <v>1823</v>
      </c>
      <c r="E566" s="524" t="s">
        <v>1824</v>
      </c>
    </row>
    <row r="567" spans="1:5" ht="55.2">
      <c r="A567" s="286" t="str">
        <f t="shared" si="8"/>
        <v>Standard: Procedures should be available with instruction as to what action(s) should be taken when temperatures are out of range</v>
      </c>
      <c r="B567" s="26" t="s">
        <v>1825</v>
      </c>
      <c r="C567" s="26" t="s">
        <v>1826</v>
      </c>
      <c r="D567" s="279" t="s">
        <v>1827</v>
      </c>
      <c r="E567" s="524" t="s">
        <v>1828</v>
      </c>
    </row>
    <row r="568" spans="1:5">
      <c r="A568" s="286" t="str">
        <f t="shared" si="8"/>
        <v>AUTOCLAVE MANAGEMENT</v>
      </c>
      <c r="B568" s="26" t="s">
        <v>420</v>
      </c>
      <c r="C568" s="26" t="s">
        <v>1829</v>
      </c>
      <c r="D568" s="279" t="s">
        <v>1830</v>
      </c>
      <c r="E568" s="524" t="s">
        <v>1831</v>
      </c>
    </row>
    <row r="569" spans="1:5" ht="82.8">
      <c r="A569" s="286" t="str">
        <f t="shared" si="8"/>
        <v>Do records demonstrate that the following mechanical indicators are recorded each time the autoclave is run? (Review logs to confirm)</v>
      </c>
      <c r="B569" s="164" t="s">
        <v>1832</v>
      </c>
      <c r="C569" s="26" t="s">
        <v>1833</v>
      </c>
      <c r="D569" s="164" t="s">
        <v>1834</v>
      </c>
      <c r="E569" s="524" t="s">
        <v>1835</v>
      </c>
    </row>
    <row r="570" spans="1:5">
      <c r="A570" s="286" t="str">
        <f t="shared" si="8"/>
        <v>Temperature</v>
      </c>
      <c r="B570" s="26" t="s">
        <v>1836</v>
      </c>
      <c r="C570" s="26" t="s">
        <v>1837</v>
      </c>
      <c r="D570" s="279" t="s">
        <v>1838</v>
      </c>
      <c r="E570" s="524" t="s">
        <v>1838</v>
      </c>
    </row>
    <row r="571" spans="1:5">
      <c r="A571" s="286" t="str">
        <f t="shared" si="8"/>
        <v>Pressure</v>
      </c>
      <c r="B571" s="26" t="s">
        <v>1839</v>
      </c>
      <c r="C571" s="26" t="s">
        <v>1840</v>
      </c>
      <c r="D571" s="279" t="s">
        <v>1841</v>
      </c>
      <c r="E571" s="524" t="s">
        <v>1842</v>
      </c>
    </row>
    <row r="572" spans="1:5">
      <c r="A572" s="286" t="str">
        <f t="shared" si="8"/>
        <v>Cycle Time</v>
      </c>
      <c r="B572" s="26" t="s">
        <v>1843</v>
      </c>
      <c r="C572" s="26" t="s">
        <v>1844</v>
      </c>
      <c r="D572" s="279" t="s">
        <v>1845</v>
      </c>
      <c r="E572" s="524" t="s">
        <v>1846</v>
      </c>
    </row>
    <row r="573" spans="1:5" ht="96.6">
      <c r="A573" s="286" t="str">
        <f t="shared" si="8"/>
        <v>Do records demonstrate that chemical indicators (e.g., heat sensitive tape) are used each time the autoclave is run? (Review logs to confirm)</v>
      </c>
      <c r="B573" s="26" t="s">
        <v>1847</v>
      </c>
      <c r="C573" s="26" t="s">
        <v>1848</v>
      </c>
      <c r="D573" s="279" t="s">
        <v>1849</v>
      </c>
      <c r="E573" s="524" t="s">
        <v>1850</v>
      </c>
    </row>
    <row r="574" spans="1:5" ht="138">
      <c r="A574" s="286" t="str">
        <f t="shared" si="8"/>
        <v>Do records demonstrate that biological indicators (e.g., Attest or other spore system) are used to confirm the autoclave is achieving sterilization? (Review logs to confirm). 1- Weekly, 2- Monthly, 3- Less than monthly, 4- No records</v>
      </c>
      <c r="B574" s="26" t="s">
        <v>1851</v>
      </c>
      <c r="C574" s="26" t="s">
        <v>1852</v>
      </c>
      <c r="D574" s="279" t="s">
        <v>1853</v>
      </c>
      <c r="E574" s="524" t="s">
        <v>1854</v>
      </c>
    </row>
    <row r="575" spans="1:5" ht="41.4">
      <c r="A575" s="286" t="str">
        <f t="shared" si="8"/>
        <v>Is the same autoclave used for both media preparation and waste sterilization?</v>
      </c>
      <c r="B575" s="26" t="s">
        <v>1855</v>
      </c>
      <c r="C575" s="26" t="s">
        <v>1856</v>
      </c>
      <c r="D575" s="279" t="s">
        <v>1857</v>
      </c>
      <c r="E575" s="524" t="s">
        <v>1858</v>
      </c>
    </row>
    <row r="576" spans="1:5" ht="27.6">
      <c r="A576" s="286" t="str">
        <f t="shared" si="8"/>
        <v>INSTRUMENT AVAILABILITY AND MAINTENANCE</v>
      </c>
      <c r="B576" s="26" t="s">
        <v>1859</v>
      </c>
      <c r="C576" s="26" t="s">
        <v>1860</v>
      </c>
      <c r="D576" s="279" t="s">
        <v>1861</v>
      </c>
      <c r="E576" s="524" t="s">
        <v>1862</v>
      </c>
    </row>
    <row r="577" spans="1:5" ht="27.6">
      <c r="A577" s="286" t="str">
        <f t="shared" si="8"/>
        <v>Enter quantity in column D (#)</v>
      </c>
      <c r="B577" s="26" t="s">
        <v>1863</v>
      </c>
      <c r="C577" s="26" t="s">
        <v>1864</v>
      </c>
      <c r="D577" s="279" t="s">
        <v>1865</v>
      </c>
      <c r="E577" s="524" t="s">
        <v>1866</v>
      </c>
    </row>
    <row r="578" spans="1:5" ht="55.2">
      <c r="A578" s="286" t="str">
        <f t="shared" si="8"/>
        <v>Does the lab have an automated blood culture instrument? (indicate manufacturer and model in comments)</v>
      </c>
      <c r="B578" s="26" t="s">
        <v>1867</v>
      </c>
      <c r="C578" s="26" t="s">
        <v>1868</v>
      </c>
      <c r="D578" s="279" t="s">
        <v>1869</v>
      </c>
      <c r="E578" s="524" t="s">
        <v>1870</v>
      </c>
    </row>
    <row r="579" spans="1:5" ht="27.6">
      <c r="A579" s="286" t="str">
        <f t="shared" si="8"/>
        <v>Is the instrument functional today?</v>
      </c>
      <c r="B579" s="26" t="s">
        <v>1871</v>
      </c>
      <c r="C579" s="26" t="s">
        <v>1872</v>
      </c>
      <c r="D579" s="279" t="s">
        <v>1873</v>
      </c>
      <c r="E579" s="524" t="s">
        <v>1874</v>
      </c>
    </row>
    <row r="580" spans="1:5">
      <c r="A580" s="286" t="str">
        <f t="shared" si="8"/>
        <v>Is a user manual present?</v>
      </c>
      <c r="B580" s="26" t="s">
        <v>1875</v>
      </c>
      <c r="C580" s="26" t="s">
        <v>1876</v>
      </c>
      <c r="D580" s="279" t="s">
        <v>1877</v>
      </c>
      <c r="E580" s="524" t="s">
        <v>1878</v>
      </c>
    </row>
    <row r="581" spans="1:5" ht="41.4">
      <c r="A581" s="286" t="str">
        <f t="shared" si="8"/>
        <v>Are routine (user) maintenance records present?</v>
      </c>
      <c r="B581" s="26" t="s">
        <v>1879</v>
      </c>
      <c r="C581" s="26" t="s">
        <v>1880</v>
      </c>
      <c r="D581" s="279" t="s">
        <v>1881</v>
      </c>
      <c r="E581" s="524" t="s">
        <v>1882</v>
      </c>
    </row>
    <row r="582" spans="1:5" ht="41.4">
      <c r="A582" s="286" t="str">
        <f t="shared" si="8"/>
        <v>Are preventive (vendor) maintenance records present?</v>
      </c>
      <c r="B582" s="164" t="s">
        <v>1883</v>
      </c>
      <c r="C582" s="26" t="s">
        <v>1884</v>
      </c>
      <c r="D582" s="164" t="s">
        <v>1885</v>
      </c>
      <c r="E582" s="524" t="s">
        <v>1886</v>
      </c>
    </row>
    <row r="583" spans="1:5" ht="27.6">
      <c r="A583" s="286" t="str">
        <f t="shared" si="8"/>
        <v>Is a service contract in place?</v>
      </c>
      <c r="B583" s="26" t="s">
        <v>1887</v>
      </c>
      <c r="C583" s="26" t="s">
        <v>1888</v>
      </c>
      <c r="D583" s="279" t="s">
        <v>1889</v>
      </c>
      <c r="E583" s="524" t="s">
        <v>1890</v>
      </c>
    </row>
    <row r="584" spans="1:5">
      <c r="A584" s="286" t="str">
        <f t="shared" si="8"/>
        <v>Is the software up to date?</v>
      </c>
      <c r="B584" s="26" t="s">
        <v>1891</v>
      </c>
      <c r="C584" s="26" t="s">
        <v>1892</v>
      </c>
      <c r="D584" s="279" t="s">
        <v>1893</v>
      </c>
      <c r="E584" s="524" t="s">
        <v>1894</v>
      </c>
    </row>
    <row r="585" spans="1:5" ht="55.2">
      <c r="A585" s="286" t="str">
        <f t="shared" si="8"/>
        <v>Does the lab have an automated instrument for bacterial ID and AST? (e.g., Vitek, Microscan, Phoenix)</v>
      </c>
      <c r="B585" s="26" t="s">
        <v>1895</v>
      </c>
      <c r="C585" s="26" t="s">
        <v>1896</v>
      </c>
      <c r="D585" s="279" t="s">
        <v>1897</v>
      </c>
      <c r="E585" s="524" t="s">
        <v>1898</v>
      </c>
    </row>
    <row r="586" spans="1:5" ht="27.6">
      <c r="A586" s="286" t="str">
        <f t="shared" si="8"/>
        <v>Is the instrument functional today?</v>
      </c>
      <c r="B586" s="26" t="s">
        <v>1871</v>
      </c>
      <c r="C586" s="26" t="s">
        <v>1872</v>
      </c>
      <c r="D586" s="279" t="s">
        <v>1873</v>
      </c>
      <c r="E586" s="524" t="s">
        <v>1874</v>
      </c>
    </row>
    <row r="587" spans="1:5">
      <c r="A587" s="286" t="str">
        <f t="shared" si="8"/>
        <v>Is a user manual present?</v>
      </c>
      <c r="B587" s="26" t="s">
        <v>1875</v>
      </c>
      <c r="C587" s="26" t="s">
        <v>1876</v>
      </c>
      <c r="D587" s="279" t="s">
        <v>1877</v>
      </c>
      <c r="E587" s="524" t="s">
        <v>1878</v>
      </c>
    </row>
    <row r="588" spans="1:5" ht="41.4">
      <c r="A588" s="286" t="str">
        <f t="shared" si="8"/>
        <v>Are routine (user) maintenance records present?</v>
      </c>
      <c r="B588" s="26" t="s">
        <v>1879</v>
      </c>
      <c r="C588" s="26" t="s">
        <v>1880</v>
      </c>
      <c r="D588" s="279" t="s">
        <v>1881</v>
      </c>
      <c r="E588" s="524" t="s">
        <v>1882</v>
      </c>
    </row>
    <row r="589" spans="1:5" ht="41.4">
      <c r="A589" s="286" t="str">
        <f t="shared" si="8"/>
        <v>Are preventive (vendor) maintenance records present?</v>
      </c>
      <c r="B589" s="164" t="s">
        <v>1883</v>
      </c>
      <c r="C589" s="26" t="s">
        <v>1884</v>
      </c>
      <c r="D589" s="164" t="s">
        <v>1885</v>
      </c>
      <c r="E589" s="524" t="s">
        <v>1899</v>
      </c>
    </row>
    <row r="590" spans="1:5" ht="27.6">
      <c r="A590" s="286" t="str">
        <f t="shared" si="8"/>
        <v>Is a service contract in place?</v>
      </c>
      <c r="B590" s="26" t="s">
        <v>1887</v>
      </c>
      <c r="C590" s="26" t="s">
        <v>1888</v>
      </c>
      <c r="D590" s="279" t="s">
        <v>1889</v>
      </c>
      <c r="E590" s="524" t="s">
        <v>1890</v>
      </c>
    </row>
    <row r="591" spans="1:5">
      <c r="A591" s="286" t="str">
        <f t="shared" si="8"/>
        <v>Is the software up to date?</v>
      </c>
      <c r="B591" s="26" t="s">
        <v>1891</v>
      </c>
      <c r="C591" s="26" t="s">
        <v>1892</v>
      </c>
      <c r="D591" s="279" t="s">
        <v>1893</v>
      </c>
      <c r="E591" s="524" t="s">
        <v>1894</v>
      </c>
    </row>
    <row r="592" spans="1:5" ht="69">
      <c r="A592" s="286" t="str">
        <f t="shared" si="8"/>
        <v>Does the lab have an automated instrument for reading disk diffusion? (e.g., SIRSCAN, BIOMIC V3, ADAGIO, etc.)</v>
      </c>
      <c r="B592" s="26" t="s">
        <v>1900</v>
      </c>
      <c r="C592" s="26" t="s">
        <v>1901</v>
      </c>
      <c r="D592" s="280" t="s">
        <v>1902</v>
      </c>
      <c r="E592" s="524" t="s">
        <v>1903</v>
      </c>
    </row>
    <row r="593" spans="1:5" ht="27.6">
      <c r="A593" s="286" t="str">
        <f t="shared" si="8"/>
        <v>Is the instrument functional today?</v>
      </c>
      <c r="B593" s="26" t="s">
        <v>1871</v>
      </c>
      <c r="C593" s="26" t="s">
        <v>1872</v>
      </c>
      <c r="D593" s="279" t="s">
        <v>1873</v>
      </c>
      <c r="E593" s="524" t="s">
        <v>1874</v>
      </c>
    </row>
    <row r="594" spans="1:5">
      <c r="A594" s="286" t="str">
        <f t="shared" si="8"/>
        <v>Is a user manual present?</v>
      </c>
      <c r="B594" s="26" t="s">
        <v>1875</v>
      </c>
      <c r="C594" s="26" t="s">
        <v>1876</v>
      </c>
      <c r="D594" s="279" t="s">
        <v>1877</v>
      </c>
      <c r="E594" s="524" t="s">
        <v>1878</v>
      </c>
    </row>
    <row r="595" spans="1:5" ht="41.4">
      <c r="A595" s="286" t="str">
        <f t="shared" si="8"/>
        <v>Are routine (user) maintenance records present?</v>
      </c>
      <c r="B595" s="26" t="s">
        <v>1879</v>
      </c>
      <c r="C595" s="26" t="s">
        <v>1880</v>
      </c>
      <c r="D595" s="279" t="s">
        <v>1881</v>
      </c>
      <c r="E595" s="524" t="s">
        <v>1882</v>
      </c>
    </row>
    <row r="596" spans="1:5" ht="41.4">
      <c r="A596" s="286" t="str">
        <f t="shared" si="8"/>
        <v>Are preventive (vendor) maintenance records present?</v>
      </c>
      <c r="B596" s="164" t="s">
        <v>1883</v>
      </c>
      <c r="C596" s="26" t="s">
        <v>1884</v>
      </c>
      <c r="D596" s="164" t="s">
        <v>1885</v>
      </c>
      <c r="E596" s="524" t="s">
        <v>1899</v>
      </c>
    </row>
    <row r="597" spans="1:5" ht="27.6">
      <c r="A597" s="286" t="str">
        <f t="shared" si="8"/>
        <v>Is a service contract in place?</v>
      </c>
      <c r="B597" s="26" t="s">
        <v>1887</v>
      </c>
      <c r="C597" s="26" t="s">
        <v>1888</v>
      </c>
      <c r="D597" s="279" t="s">
        <v>1889</v>
      </c>
      <c r="E597" s="524" t="s">
        <v>1890</v>
      </c>
    </row>
    <row r="598" spans="1:5">
      <c r="A598" s="286" t="str">
        <f t="shared" si="8"/>
        <v>Is the software up to date?</v>
      </c>
      <c r="B598" s="26" t="s">
        <v>1891</v>
      </c>
      <c r="C598" s="26" t="s">
        <v>1892</v>
      </c>
      <c r="D598" s="279" t="s">
        <v>1904</v>
      </c>
      <c r="E598" s="524" t="s">
        <v>1894</v>
      </c>
    </row>
    <row r="599" spans="1:5" ht="55.2">
      <c r="A599" s="286" t="str">
        <f t="shared" si="8"/>
        <v>Does the lab have a MALDI instrument for organism ID? (e.g., Bruker, Biomerieux)</v>
      </c>
      <c r="B599" s="26" t="s">
        <v>1905</v>
      </c>
      <c r="C599" s="26" t="s">
        <v>1906</v>
      </c>
      <c r="D599" s="279" t="s">
        <v>1907</v>
      </c>
      <c r="E599" s="524" t="s">
        <v>1908</v>
      </c>
    </row>
    <row r="600" spans="1:5" ht="27.6">
      <c r="A600" s="286" t="str">
        <f t="shared" si="8"/>
        <v>Is the instrument functional today?</v>
      </c>
      <c r="B600" s="26" t="s">
        <v>1871</v>
      </c>
      <c r="C600" s="279" t="s">
        <v>1872</v>
      </c>
      <c r="D600" s="279" t="s">
        <v>1873</v>
      </c>
      <c r="E600" s="524" t="s">
        <v>1874</v>
      </c>
    </row>
    <row r="601" spans="1:5">
      <c r="A601" s="286" t="str">
        <f t="shared" si="8"/>
        <v>Is a user manual present?</v>
      </c>
      <c r="B601" s="26" t="s">
        <v>1875</v>
      </c>
      <c r="C601" s="279" t="s">
        <v>1876</v>
      </c>
      <c r="D601" s="279" t="s">
        <v>1877</v>
      </c>
      <c r="E601" s="524" t="s">
        <v>1878</v>
      </c>
    </row>
    <row r="602" spans="1:5" ht="41.4">
      <c r="A602" s="286" t="str">
        <f t="shared" si="8"/>
        <v>Are routine (user) maintenance records present?</v>
      </c>
      <c r="B602" s="26" t="s">
        <v>1879</v>
      </c>
      <c r="C602" s="279" t="s">
        <v>1880</v>
      </c>
      <c r="D602" s="279" t="s">
        <v>1881</v>
      </c>
      <c r="E602" s="524" t="s">
        <v>1882</v>
      </c>
    </row>
    <row r="603" spans="1:5" ht="41.4">
      <c r="A603" s="286" t="str">
        <f t="shared" si="8"/>
        <v>Are preventive (vendor) maintenance records present?</v>
      </c>
      <c r="B603" s="164" t="s">
        <v>1883</v>
      </c>
      <c r="C603" s="279" t="s">
        <v>1884</v>
      </c>
      <c r="D603" s="164" t="s">
        <v>1885</v>
      </c>
      <c r="E603" s="524" t="s">
        <v>1899</v>
      </c>
    </row>
    <row r="604" spans="1:5" ht="27.6">
      <c r="A604" s="286" t="str">
        <f t="shared" si="8"/>
        <v>Is a service contract in place?</v>
      </c>
      <c r="B604" s="26" t="s">
        <v>1887</v>
      </c>
      <c r="C604" s="279" t="s">
        <v>1888</v>
      </c>
      <c r="D604" s="279" t="s">
        <v>1889</v>
      </c>
      <c r="E604" s="524" t="s">
        <v>1890</v>
      </c>
    </row>
    <row r="605" spans="1:5">
      <c r="A605" s="286" t="str">
        <f t="shared" si="8"/>
        <v>Is the software up to date?</v>
      </c>
      <c r="B605" s="26" t="s">
        <v>1891</v>
      </c>
      <c r="C605" s="279" t="s">
        <v>1892</v>
      </c>
      <c r="D605" s="279" t="s">
        <v>1893</v>
      </c>
      <c r="E605" s="524" t="s">
        <v>1894</v>
      </c>
    </row>
    <row r="606" spans="1:5" ht="55.2">
      <c r="A606" s="286" t="str">
        <f t="shared" si="8"/>
        <v>Does the lab have a PCR instrument used for detecting antibiotic resistance genes? (e.g., GeneXpert)</v>
      </c>
      <c r="B606" s="26" t="s">
        <v>1909</v>
      </c>
      <c r="C606" s="26" t="s">
        <v>1910</v>
      </c>
      <c r="D606" s="279" t="s">
        <v>1911</v>
      </c>
      <c r="E606" s="524" t="s">
        <v>1912</v>
      </c>
    </row>
    <row r="607" spans="1:5" ht="27.6">
      <c r="A607" s="286" t="str">
        <f t="shared" si="8"/>
        <v>Is the instrument functional today?</v>
      </c>
      <c r="B607" s="26" t="s">
        <v>1871</v>
      </c>
      <c r="C607" s="279" t="s">
        <v>1872</v>
      </c>
      <c r="D607" s="279" t="s">
        <v>1873</v>
      </c>
      <c r="E607" s="524" t="s">
        <v>1874</v>
      </c>
    </row>
    <row r="608" spans="1:5">
      <c r="A608" s="286" t="str">
        <f t="shared" si="8"/>
        <v>Is a user manual present?</v>
      </c>
      <c r="B608" s="26" t="s">
        <v>1875</v>
      </c>
      <c r="C608" s="279" t="s">
        <v>1876</v>
      </c>
      <c r="D608" s="279" t="s">
        <v>1877</v>
      </c>
      <c r="E608" s="524" t="s">
        <v>1878</v>
      </c>
    </row>
    <row r="609" spans="1:5" ht="41.4">
      <c r="A609" s="286" t="str">
        <f t="shared" ref="A609:A673" si="9">IF(langue=1,B609,IF(langue=2,C609,IF(langue=3,D609,IF(langue=4,E609,F609))))</f>
        <v>Are routine (user) maintenance records present?</v>
      </c>
      <c r="B609" s="26" t="s">
        <v>1879</v>
      </c>
      <c r="C609" s="279" t="s">
        <v>1880</v>
      </c>
      <c r="D609" s="279" t="s">
        <v>1881</v>
      </c>
      <c r="E609" s="524" t="s">
        <v>1882</v>
      </c>
    </row>
    <row r="610" spans="1:5" ht="41.4">
      <c r="A610" s="286" t="str">
        <f t="shared" si="9"/>
        <v>Are preventive (vendor) maintenance records present?</v>
      </c>
      <c r="B610" s="164" t="s">
        <v>1883</v>
      </c>
      <c r="C610" s="279" t="s">
        <v>1884</v>
      </c>
      <c r="D610" s="164" t="s">
        <v>1885</v>
      </c>
      <c r="E610" s="524" t="s">
        <v>1899</v>
      </c>
    </row>
    <row r="611" spans="1:5" ht="27.6">
      <c r="A611" s="286" t="str">
        <f t="shared" si="9"/>
        <v>Is a service contract in place?</v>
      </c>
      <c r="B611" s="26" t="s">
        <v>1887</v>
      </c>
      <c r="C611" s="279" t="s">
        <v>1888</v>
      </c>
      <c r="D611" s="279" t="s">
        <v>1889</v>
      </c>
      <c r="E611" s="524" t="s">
        <v>1890</v>
      </c>
    </row>
    <row r="612" spans="1:5">
      <c r="A612" s="286" t="str">
        <f t="shared" si="9"/>
        <v>Is the software up to date?</v>
      </c>
      <c r="B612" s="26" t="s">
        <v>1891</v>
      </c>
      <c r="C612" s="279" t="s">
        <v>1892</v>
      </c>
      <c r="D612" s="279" t="s">
        <v>1893</v>
      </c>
      <c r="E612" s="524" t="s">
        <v>1894</v>
      </c>
    </row>
    <row r="613" spans="1:5" ht="69">
      <c r="A613" s="286" t="str">
        <f t="shared" si="9"/>
        <v>In the last 6 months, has prolonged instrument failure disrupted the ability to provide routine bacteriology services?</v>
      </c>
      <c r="B613" s="26" t="s">
        <v>1913</v>
      </c>
      <c r="C613" s="26" t="s">
        <v>1914</v>
      </c>
      <c r="D613" s="279" t="s">
        <v>1915</v>
      </c>
      <c r="E613" s="524" t="s">
        <v>1916</v>
      </c>
    </row>
    <row r="614" spans="1:5" ht="69">
      <c r="A614" s="286" t="str">
        <f t="shared" si="9"/>
        <v>In the event of prolonged instrument failure, is a contingency plan in place to provide uninterrupted bacteriology services?</v>
      </c>
      <c r="B614" s="26" t="s">
        <v>1917</v>
      </c>
      <c r="C614" s="26" t="s">
        <v>1918</v>
      </c>
      <c r="D614" s="279" t="s">
        <v>1919</v>
      </c>
      <c r="E614" s="524" t="s">
        <v>1920</v>
      </c>
    </row>
    <row r="615" spans="1:5">
      <c r="A615" s="286" t="str">
        <f t="shared" si="9"/>
        <v>INVENTORY &amp; STOCK OUTS</v>
      </c>
      <c r="B615" s="26" t="s">
        <v>428</v>
      </c>
      <c r="C615" s="26" t="s">
        <v>429</v>
      </c>
      <c r="D615" s="164" t="s">
        <v>1921</v>
      </c>
      <c r="E615" s="524" t="s">
        <v>1922</v>
      </c>
    </row>
    <row r="616" spans="1:5" ht="27.6">
      <c r="A616" s="286" t="str">
        <f t="shared" si="9"/>
        <v>Does the lab have an inventory control system in place?</v>
      </c>
      <c r="B616" s="164" t="s">
        <v>1923</v>
      </c>
      <c r="C616" s="26" t="s">
        <v>1924</v>
      </c>
      <c r="D616" s="164" t="s">
        <v>1925</v>
      </c>
      <c r="E616" s="524" t="s">
        <v>1926</v>
      </c>
    </row>
    <row r="617" spans="1:5" ht="82.8">
      <c r="A617" s="286" t="str">
        <f t="shared" si="9"/>
        <v>In the last 6 months, has the lab/hospital experienced stock outs of specimen collection materials? (e.g., blood culture bottles, sterile cups, sterile swabs)</v>
      </c>
      <c r="B617" s="26" t="s">
        <v>1927</v>
      </c>
      <c r="C617" s="352" t="s">
        <v>1928</v>
      </c>
      <c r="D617" s="279" t="s">
        <v>1929</v>
      </c>
      <c r="E617" s="524" t="s">
        <v>1930</v>
      </c>
    </row>
    <row r="618" spans="1:5" ht="96.6">
      <c r="A618" s="286" t="str">
        <f t="shared" si="9"/>
        <v>In the last 6 months, has the lab experienced stock outs of consumables? (e.g.,, petri dishes, tubes, sterile saline, pipettes, pipette tips, plastic inoculating loops, gloves, paper, gauze, disinfectant)</v>
      </c>
      <c r="B618" s="26" t="s">
        <v>1931</v>
      </c>
      <c r="C618" s="26" t="s">
        <v>1932</v>
      </c>
      <c r="D618" s="279" t="s">
        <v>1933</v>
      </c>
      <c r="E618" s="524" t="s">
        <v>1934</v>
      </c>
    </row>
    <row r="619" spans="1:5" ht="69">
      <c r="A619" s="286" t="str">
        <f t="shared" si="9"/>
        <v>In the last 6 months, has the lab experienced stock outs of media? (e.g., powdered media, sheep blood, other additives, tubed media)</v>
      </c>
      <c r="B619" s="26" t="s">
        <v>1935</v>
      </c>
      <c r="C619" s="26" t="s">
        <v>1936</v>
      </c>
      <c r="D619" s="279" t="s">
        <v>1937</v>
      </c>
      <c r="E619" s="524" t="s">
        <v>1938</v>
      </c>
    </row>
    <row r="620" spans="1:5" ht="82.8">
      <c r="A620" s="286" t="str">
        <f t="shared" si="9"/>
        <v>In the last 6 months, has the lab experienced stock outs of conventional reagents? (e.g., oxidase reagent, indole reagent, catalase reagent, coagulase reagent, etc.)</v>
      </c>
      <c r="B620" s="26" t="s">
        <v>1939</v>
      </c>
      <c r="C620" s="352" t="s">
        <v>1940</v>
      </c>
      <c r="D620" s="279" t="s">
        <v>1941</v>
      </c>
      <c r="E620" s="524" t="s">
        <v>1942</v>
      </c>
    </row>
    <row r="621" spans="1:5" ht="55.2">
      <c r="A621" s="286" t="str">
        <f t="shared" si="9"/>
        <v>In the last 6 months, has the lab experienced stock outs of antibiotic disks or strips?</v>
      </c>
      <c r="B621" s="26" t="s">
        <v>1943</v>
      </c>
      <c r="C621" s="26" t="s">
        <v>1944</v>
      </c>
      <c r="D621" s="279" t="s">
        <v>1945</v>
      </c>
      <c r="E621" s="524" t="s">
        <v>1946</v>
      </c>
    </row>
    <row r="622" spans="1:5" ht="69">
      <c r="A622" s="286" t="str">
        <f t="shared" si="9"/>
        <v>In the last 6 months, has the lab experienced stock outs of ID or AST cards/trays for the automated instruments?</v>
      </c>
      <c r="B622" s="26" t="s">
        <v>1947</v>
      </c>
      <c r="C622" s="26" t="s">
        <v>1948</v>
      </c>
      <c r="D622" s="164" t="s">
        <v>1949</v>
      </c>
      <c r="E622" s="524" t="s">
        <v>1950</v>
      </c>
    </row>
    <row r="623" spans="1:5" ht="55.2">
      <c r="A623" s="286" t="str">
        <f t="shared" si="9"/>
        <v xml:space="preserve">In the last 6 months, has the lab experienced stock outs of control materials or reference strains? </v>
      </c>
      <c r="B623" s="164" t="s">
        <v>1951</v>
      </c>
      <c r="C623" s="26" t="s">
        <v>1952</v>
      </c>
      <c r="D623" s="164" t="s">
        <v>1953</v>
      </c>
      <c r="E623" s="524" t="s">
        <v>1954</v>
      </c>
    </row>
    <row r="624" spans="1:5" ht="41.4">
      <c r="A624" s="286" t="str">
        <f t="shared" si="9"/>
        <v xml:space="preserve">In the last 6 months, has the lab experienced stock outs of other key materials? </v>
      </c>
      <c r="B624" s="26" t="s">
        <v>1955</v>
      </c>
      <c r="C624" s="26" t="s">
        <v>1956</v>
      </c>
      <c r="D624" s="279" t="s">
        <v>1957</v>
      </c>
      <c r="E624" s="524" t="s">
        <v>1958</v>
      </c>
    </row>
    <row r="625" spans="1:5" ht="55.2">
      <c r="A625" s="286" t="str">
        <f t="shared" si="9"/>
        <v>In the last 6 months, have any stock outs disrupted the lab's ability to provide routine bacteriology services?</v>
      </c>
      <c r="B625" s="26" t="s">
        <v>1959</v>
      </c>
      <c r="C625" s="26" t="s">
        <v>1960</v>
      </c>
      <c r="D625" s="279" t="s">
        <v>1961</v>
      </c>
      <c r="E625" s="524" t="s">
        <v>1962</v>
      </c>
    </row>
    <row r="626" spans="1:5" ht="69">
      <c r="A626" s="286" t="str">
        <f t="shared" si="9"/>
        <v>In the event of stock outs, is a contingency plan in place to provide uninterrupted bacteriology services?</v>
      </c>
      <c r="B626" s="26" t="s">
        <v>1963</v>
      </c>
      <c r="C626" s="26" t="s">
        <v>1964</v>
      </c>
      <c r="D626" s="279" t="s">
        <v>1965</v>
      </c>
      <c r="E626" s="524" t="s">
        <v>1966</v>
      </c>
    </row>
    <row r="627" spans="1:5" ht="124.2">
      <c r="A627" s="286" t="str">
        <f t="shared" si="9"/>
        <v>Standard: Testing services should not be subject to interruption due to stock outs. Laboratories should pursue all options for borrowing stock from another laboratory or referring samples to another testing facility while the stock out is being addressed.</v>
      </c>
      <c r="B627" s="26" t="s">
        <v>1967</v>
      </c>
      <c r="C627" s="26" t="s">
        <v>1968</v>
      </c>
      <c r="D627" s="164" t="s">
        <v>1969</v>
      </c>
      <c r="E627" s="524" t="s">
        <v>1970</v>
      </c>
    </row>
    <row r="628" spans="1:5" ht="69">
      <c r="A628" s="286" t="str">
        <f t="shared" si="9"/>
        <v>Are all currently in use media, reagents and test kits within the manufacturer-assigned expiry dates? (Verify by random sampling)</v>
      </c>
      <c r="B628" s="26" t="s">
        <v>1971</v>
      </c>
      <c r="C628" s="26" t="s">
        <v>1972</v>
      </c>
      <c r="D628" s="279" t="s">
        <v>1973</v>
      </c>
      <c r="E628" s="524" t="s">
        <v>1974</v>
      </c>
    </row>
    <row r="629" spans="1:5" ht="96.6">
      <c r="A629" s="286" t="str">
        <f t="shared" si="9"/>
        <v>Standard: All reagent and test kits in use, as well as those in stock, should be within the manufacturer-assigned expiry dates. Expired stock should not be entered into use and should be documented before disposal.</v>
      </c>
      <c r="B629" s="26" t="s">
        <v>1975</v>
      </c>
      <c r="C629" s="26" t="s">
        <v>1976</v>
      </c>
      <c r="D629" s="279" t="s">
        <v>1977</v>
      </c>
      <c r="E629" s="524" t="s">
        <v>1978</v>
      </c>
    </row>
    <row r="630" spans="1:5" ht="96.6">
      <c r="A630" s="286" t="str">
        <f t="shared" si="9"/>
        <v>Are all reconstituted reagents, such as coagulase plasma, within stability from the date of reconstitution? (Coagulase plasma expires 30 days after reconstitution when stored frozen).</v>
      </c>
      <c r="B630" s="26" t="s">
        <v>1979</v>
      </c>
      <c r="C630" s="26" t="s">
        <v>1980</v>
      </c>
      <c r="D630" s="279" t="s">
        <v>1981</v>
      </c>
      <c r="E630" s="524" t="s">
        <v>1982</v>
      </c>
    </row>
    <row r="631" spans="1:5">
      <c r="A631" s="286" t="str">
        <f t="shared" si="9"/>
        <v>Functional equipment?</v>
      </c>
      <c r="B631" s="26" t="s">
        <v>1983</v>
      </c>
      <c r="C631" s="26" t="s">
        <v>1984</v>
      </c>
      <c r="D631" s="279" t="s">
        <v>1985</v>
      </c>
      <c r="E631" s="524" t="s">
        <v>1986</v>
      </c>
    </row>
    <row r="632" spans="1:5" ht="55.2">
      <c r="A632" s="286" t="str">
        <f t="shared" si="9"/>
        <v>Please comment "insufficient" if the amount of functional equipment present is insufficient for the laboratory's volume of testing.</v>
      </c>
      <c r="B632" s="26" t="s">
        <v>1987</v>
      </c>
      <c r="C632" s="26" t="s">
        <v>1988</v>
      </c>
      <c r="D632" s="279" t="s">
        <v>1989</v>
      </c>
      <c r="E632" s="524" t="s">
        <v>1990</v>
      </c>
    </row>
    <row r="633" spans="1:5">
      <c r="A633" s="286" t="str">
        <f t="shared" si="9"/>
        <v>Temperature recorded</v>
      </c>
      <c r="B633" s="26" t="s">
        <v>413</v>
      </c>
      <c r="C633" s="26" t="s">
        <v>1991</v>
      </c>
      <c r="D633" s="279" t="s">
        <v>415</v>
      </c>
      <c r="E633" s="524" t="s">
        <v>415</v>
      </c>
    </row>
    <row r="634" spans="1:5">
      <c r="A634" s="286" t="str">
        <f t="shared" si="9"/>
        <v>Ranges defined</v>
      </c>
      <c r="B634" s="26" t="s">
        <v>416</v>
      </c>
      <c r="C634" s="26" t="s">
        <v>1992</v>
      </c>
      <c r="D634" s="279" t="s">
        <v>418</v>
      </c>
      <c r="E634" s="524" t="s">
        <v>419</v>
      </c>
    </row>
    <row r="635" spans="1:5">
      <c r="A635" s="286" t="str">
        <f t="shared" si="9"/>
        <v>BRAND:</v>
      </c>
      <c r="B635" s="26" t="s">
        <v>1993</v>
      </c>
      <c r="C635" s="26" t="s">
        <v>1994</v>
      </c>
      <c r="D635" s="279" t="s">
        <v>1995</v>
      </c>
      <c r="E635" s="524" t="s">
        <v>1995</v>
      </c>
    </row>
    <row r="636" spans="1:5">
      <c r="A636" s="286" t="str">
        <f t="shared" si="9"/>
        <v>BRAND/ MODEL:</v>
      </c>
      <c r="B636" s="26" t="s">
        <v>1996</v>
      </c>
      <c r="C636" s="26" t="s">
        <v>1997</v>
      </c>
      <c r="D636" s="279" t="s">
        <v>1998</v>
      </c>
      <c r="E636" s="524" t="s">
        <v>1998</v>
      </c>
    </row>
    <row r="637" spans="1:5" ht="27.6">
      <c r="A637" s="286" t="str">
        <f t="shared" si="9"/>
        <v>2 - LABORATORY INFORMATION SYSTEM (ELECTRONIC)</v>
      </c>
      <c r="B637" s="26" t="s">
        <v>1999</v>
      </c>
      <c r="C637" s="26" t="s">
        <v>2000</v>
      </c>
      <c r="D637" s="279" t="s">
        <v>2001</v>
      </c>
      <c r="E637" s="524" t="s">
        <v>2002</v>
      </c>
    </row>
    <row r="638" spans="1:5" ht="55.2">
      <c r="A638" s="286" t="str">
        <f t="shared" si="9"/>
        <v>If the lab does not use an electronic LIS, answer No to question 2.1, then skip to the Data Management tab, #3.</v>
      </c>
      <c r="B638" s="26" t="s">
        <v>2003</v>
      </c>
      <c r="C638" s="26" t="s">
        <v>2004</v>
      </c>
      <c r="D638" s="279" t="s">
        <v>2005</v>
      </c>
      <c r="E638" s="524" t="s">
        <v>2006</v>
      </c>
    </row>
    <row r="639" spans="1:5" ht="82.8">
      <c r="A639" s="286" t="str">
        <f t="shared" si="9"/>
        <v>The scores for this section reflect the usability of the computer-based LIS and its likely compatibility with AMR surveillance systems, not the quality of the laboratory</v>
      </c>
      <c r="B639" s="26" t="s">
        <v>2007</v>
      </c>
      <c r="C639" s="26" t="s">
        <v>2008</v>
      </c>
      <c r="D639" s="164" t="s">
        <v>2009</v>
      </c>
      <c r="E639" s="524" t="s">
        <v>2010</v>
      </c>
    </row>
    <row r="640" spans="1:5" ht="69">
      <c r="A640" s="286" t="str">
        <f t="shared" si="9"/>
        <v>When exporting data from a LIS for data analysis purposes, including AMR surveillance, it is important that each data field is discrete</v>
      </c>
      <c r="B640" s="26" t="s">
        <v>2011</v>
      </c>
      <c r="C640" s="26" t="s">
        <v>2012</v>
      </c>
      <c r="D640" s="164" t="s">
        <v>2013</v>
      </c>
      <c r="E640" s="524" t="s">
        <v>2014</v>
      </c>
    </row>
    <row r="641" spans="1:6" ht="27.6">
      <c r="A641" s="286" t="str">
        <f t="shared" si="9"/>
        <v>DEMOGRAPHIC DATA FIELDS</v>
      </c>
      <c r="B641" s="26" t="s">
        <v>436</v>
      </c>
      <c r="C641" s="26" t="s">
        <v>437</v>
      </c>
      <c r="D641" s="279" t="s">
        <v>2015</v>
      </c>
      <c r="E641" s="524" t="s">
        <v>2016</v>
      </c>
    </row>
    <row r="642" spans="1:6" ht="41.4">
      <c r="A642" s="286" t="str">
        <f t="shared" si="9"/>
        <v>Does the laboratory use a computer-based Laboratory Information System (LIS)?</v>
      </c>
      <c r="B642" s="164" t="s">
        <v>2017</v>
      </c>
      <c r="C642" s="26" t="s">
        <v>2018</v>
      </c>
      <c r="D642" s="164" t="s">
        <v>2019</v>
      </c>
      <c r="E642" s="524" t="s">
        <v>2020</v>
      </c>
    </row>
    <row r="643" spans="1:6">
      <c r="A643" s="286" t="str">
        <f t="shared" si="9"/>
        <v>Name of LIS:</v>
      </c>
      <c r="B643" s="164" t="s">
        <v>2021</v>
      </c>
      <c r="C643" s="26" t="s">
        <v>2022</v>
      </c>
      <c r="D643" s="164" t="s">
        <v>2023</v>
      </c>
      <c r="E643" s="524" t="s">
        <v>2024</v>
      </c>
    </row>
    <row r="644" spans="1:6" ht="41.4">
      <c r="A644" s="286" t="str">
        <f t="shared" si="9"/>
        <v>If yes, please record name in comments. PLEASE NOTE: WHONET is not a LIS</v>
      </c>
      <c r="B644" s="26" t="s">
        <v>2025</v>
      </c>
      <c r="C644" s="26" t="s">
        <v>2026</v>
      </c>
      <c r="D644" s="279" t="s">
        <v>2027</v>
      </c>
      <c r="E644" s="524" t="s">
        <v>2028</v>
      </c>
    </row>
    <row r="645" spans="1:6" ht="55.2">
      <c r="A645" s="286" t="str">
        <f t="shared" si="9"/>
        <v>Observe data entry into the LIS. Are individual data fields present for each of the following?</v>
      </c>
      <c r="B645" s="26" t="s">
        <v>2029</v>
      </c>
      <c r="C645" s="26" t="s">
        <v>2030</v>
      </c>
      <c r="D645" s="164" t="s">
        <v>2031</v>
      </c>
      <c r="E645" s="524" t="s">
        <v>2032</v>
      </c>
    </row>
    <row r="646" spans="1:6">
      <c r="A646" s="286" t="str">
        <f t="shared" si="9"/>
        <v>Patient Last Name/Surname</v>
      </c>
      <c r="B646" s="26" t="s">
        <v>2033</v>
      </c>
      <c r="C646" s="26" t="s">
        <v>2034</v>
      </c>
      <c r="D646" s="279" t="s">
        <v>2035</v>
      </c>
      <c r="E646" s="524" t="s">
        <v>2036</v>
      </c>
    </row>
    <row r="647" spans="1:6">
      <c r="A647" s="286" t="str">
        <f t="shared" si="9"/>
        <v>Patient First Name</v>
      </c>
      <c r="B647" s="26" t="s">
        <v>2037</v>
      </c>
      <c r="C647" s="26" t="s">
        <v>2038</v>
      </c>
      <c r="D647" s="279" t="s">
        <v>2039</v>
      </c>
      <c r="E647" s="524" t="s">
        <v>2040</v>
      </c>
    </row>
    <row r="648" spans="1:6">
      <c r="A648" s="286" t="str">
        <f t="shared" si="9"/>
        <v>Patient Identification Number</v>
      </c>
      <c r="B648" s="26" t="s">
        <v>2041</v>
      </c>
      <c r="C648" s="26" t="s">
        <v>2042</v>
      </c>
      <c r="D648" s="279" t="s">
        <v>2043</v>
      </c>
      <c r="E648" s="524" t="s">
        <v>2044</v>
      </c>
    </row>
    <row r="649" spans="1:6">
      <c r="A649" s="286" t="str">
        <f t="shared" si="9"/>
        <v>Patient Date of Birth</v>
      </c>
      <c r="B649" s="26" t="s">
        <v>2045</v>
      </c>
      <c r="C649" s="26" t="s">
        <v>2046</v>
      </c>
      <c r="D649" s="279" t="s">
        <v>2047</v>
      </c>
      <c r="E649" s="524" t="s">
        <v>2048</v>
      </c>
    </row>
    <row r="650" spans="1:6">
      <c r="A650" s="286" t="str">
        <f t="shared" si="9"/>
        <v>Patient Age</v>
      </c>
      <c r="B650" s="164" t="s">
        <v>2049</v>
      </c>
      <c r="C650" s="26" t="s">
        <v>2050</v>
      </c>
      <c r="D650" s="164" t="s">
        <v>2051</v>
      </c>
      <c r="E650" s="524" t="s">
        <v>2052</v>
      </c>
    </row>
    <row r="651" spans="1:6" s="383" customFormat="1">
      <c r="A651" s="441" t="str">
        <f>IF(langue=1,B651,IF(langue=2,C651,IF(langue=3,D651,IF(langue=4,E651,F651))))</f>
        <v>Patient Sex</v>
      </c>
      <c r="B651" s="304" t="s">
        <v>2053</v>
      </c>
      <c r="C651" s="304" t="s">
        <v>2054</v>
      </c>
      <c r="D651" s="382" t="s">
        <v>2055</v>
      </c>
      <c r="E651" s="525" t="s">
        <v>2056</v>
      </c>
      <c r="F651" s="544"/>
    </row>
    <row r="652" spans="1:6" ht="41.4">
      <c r="A652" s="286" t="str">
        <f t="shared" si="9"/>
        <v>Patient Location (Ward or Unit at the time of specimen collection, e.g., "ICU")</v>
      </c>
      <c r="B652" s="26" t="s">
        <v>2057</v>
      </c>
      <c r="C652" s="26" t="s">
        <v>2058</v>
      </c>
      <c r="D652" s="279" t="s">
        <v>2059</v>
      </c>
      <c r="E652" s="524" t="s">
        <v>2060</v>
      </c>
    </row>
    <row r="653" spans="1:6">
      <c r="A653" s="286" t="str">
        <f t="shared" si="9"/>
        <v>Patient Date of Admission</v>
      </c>
      <c r="B653" s="26" t="s">
        <v>2061</v>
      </c>
      <c r="C653" s="26" t="s">
        <v>2062</v>
      </c>
      <c r="D653" s="279" t="s">
        <v>2063</v>
      </c>
      <c r="E653" s="524" t="s">
        <v>2064</v>
      </c>
    </row>
    <row r="654" spans="1:6" ht="27.6">
      <c r="A654" s="286" t="str">
        <f t="shared" si="9"/>
        <v>SPECIMEN DATA FIELDS</v>
      </c>
      <c r="B654" s="26" t="s">
        <v>440</v>
      </c>
      <c r="C654" s="26" t="s">
        <v>2065</v>
      </c>
      <c r="D654" s="279" t="s">
        <v>2066</v>
      </c>
      <c r="E654" s="524" t="s">
        <v>2067</v>
      </c>
    </row>
    <row r="655" spans="1:6" ht="55.2">
      <c r="A655" s="286" t="str">
        <f t="shared" si="9"/>
        <v>Observe data entry into the LIS. Are individual data fields present for each of the following?</v>
      </c>
      <c r="B655" s="26" t="s">
        <v>2029</v>
      </c>
      <c r="C655" s="26" t="s">
        <v>2030</v>
      </c>
      <c r="D655" s="164" t="s">
        <v>2068</v>
      </c>
      <c r="E655" s="524" t="s">
        <v>2032</v>
      </c>
    </row>
    <row r="656" spans="1:6">
      <c r="A656" s="286" t="str">
        <f t="shared" si="9"/>
        <v>Specimen identification number</v>
      </c>
      <c r="B656" s="164" t="s">
        <v>2069</v>
      </c>
      <c r="C656" s="26" t="s">
        <v>2070</v>
      </c>
      <c r="D656" s="164" t="s">
        <v>2071</v>
      </c>
      <c r="E656" s="524" t="s">
        <v>2072</v>
      </c>
    </row>
    <row r="657" spans="1:5">
      <c r="A657" s="286" t="str">
        <f t="shared" si="9"/>
        <v>Specimen Type (e.g. Wound)</v>
      </c>
      <c r="B657" s="26" t="s">
        <v>2073</v>
      </c>
      <c r="C657" s="26" t="s">
        <v>2074</v>
      </c>
      <c r="D657" s="279" t="s">
        <v>2075</v>
      </c>
      <c r="E657" s="524" t="s">
        <v>2076</v>
      </c>
    </row>
    <row r="658" spans="1:5" ht="27.6">
      <c r="A658" s="286" t="str">
        <f t="shared" si="9"/>
        <v>Specimen Source/Body Site (e.g., Arm)</v>
      </c>
      <c r="B658" s="26" t="s">
        <v>2077</v>
      </c>
      <c r="C658" s="26" t="s">
        <v>2078</v>
      </c>
      <c r="D658" s="279" t="s">
        <v>2079</v>
      </c>
      <c r="E658" s="524" t="s">
        <v>2080</v>
      </c>
    </row>
    <row r="659" spans="1:5" ht="27.6">
      <c r="A659" s="286" t="str">
        <f t="shared" si="9"/>
        <v>Additional descriptors (e.g., Left, Right)</v>
      </c>
      <c r="B659" s="26" t="s">
        <v>2081</v>
      </c>
      <c r="C659" s="26" t="s">
        <v>2082</v>
      </c>
      <c r="D659" s="279" t="s">
        <v>2083</v>
      </c>
      <c r="E659" s="524" t="s">
        <v>2084</v>
      </c>
    </row>
    <row r="660" spans="1:5">
      <c r="A660" s="286" t="str">
        <f t="shared" si="9"/>
        <v>Date of specimen collection</v>
      </c>
      <c r="B660" s="26" t="s">
        <v>2085</v>
      </c>
      <c r="C660" s="26" t="s">
        <v>2086</v>
      </c>
      <c r="D660" s="279" t="s">
        <v>2087</v>
      </c>
      <c r="E660" s="524" t="s">
        <v>2088</v>
      </c>
    </row>
    <row r="661" spans="1:5">
      <c r="A661" s="286" t="str">
        <f t="shared" si="9"/>
        <v>Time of specimen collection</v>
      </c>
      <c r="B661" s="26" t="s">
        <v>2089</v>
      </c>
      <c r="C661" s="26" t="s">
        <v>2090</v>
      </c>
      <c r="D661" s="279" t="s">
        <v>2091</v>
      </c>
      <c r="E661" s="524" t="s">
        <v>2092</v>
      </c>
    </row>
    <row r="662" spans="1:5">
      <c r="A662" s="286" t="str">
        <f t="shared" si="9"/>
        <v>Date of specimen receipt</v>
      </c>
      <c r="B662" s="26" t="s">
        <v>2093</v>
      </c>
      <c r="C662" s="26" t="s">
        <v>2094</v>
      </c>
      <c r="D662" s="279" t="s">
        <v>2095</v>
      </c>
      <c r="E662" s="524" t="s">
        <v>2096</v>
      </c>
    </row>
    <row r="663" spans="1:5">
      <c r="A663" s="286" t="str">
        <f t="shared" si="9"/>
        <v>Time of specimen receipt</v>
      </c>
      <c r="B663" s="164" t="s">
        <v>2097</v>
      </c>
      <c r="C663" s="26" t="s">
        <v>2098</v>
      </c>
      <c r="D663" s="164" t="s">
        <v>2099</v>
      </c>
      <c r="E663" s="524" t="s">
        <v>2100</v>
      </c>
    </row>
    <row r="664" spans="1:5" ht="27.6">
      <c r="A664" s="286" t="str">
        <f t="shared" si="9"/>
        <v>CULTURE OBSERVATION DATA FIELDS</v>
      </c>
      <c r="B664" s="26" t="s">
        <v>444</v>
      </c>
      <c r="C664" s="26" t="s">
        <v>445</v>
      </c>
      <c r="D664" s="279" t="s">
        <v>446</v>
      </c>
      <c r="E664" s="524" t="s">
        <v>2101</v>
      </c>
    </row>
    <row r="665" spans="1:5" ht="55.2">
      <c r="A665" s="286" t="str">
        <f t="shared" si="9"/>
        <v>Observe culture data entry into the LIS. Are individual data fields present for each of the following?</v>
      </c>
      <c r="B665" s="26" t="s">
        <v>2102</v>
      </c>
      <c r="C665" s="26" t="s">
        <v>2103</v>
      </c>
      <c r="D665" s="164" t="s">
        <v>2104</v>
      </c>
      <c r="E665" s="524" t="s">
        <v>2032</v>
      </c>
    </row>
    <row r="666" spans="1:5" ht="27.6">
      <c r="A666" s="286" t="str">
        <f t="shared" si="9"/>
        <v>Gram stain of specimen (e.g., sputum Gram stain)</v>
      </c>
      <c r="B666" s="26" t="s">
        <v>2105</v>
      </c>
      <c r="C666" s="26" t="s">
        <v>2106</v>
      </c>
      <c r="D666" s="279" t="s">
        <v>2107</v>
      </c>
      <c r="E666" s="524" t="s">
        <v>2108</v>
      </c>
    </row>
    <row r="667" spans="1:5" ht="27.6">
      <c r="A667" s="286" t="str">
        <f t="shared" si="9"/>
        <v>Quantity of Epithelial Cells per low power field</v>
      </c>
      <c r="B667" s="26" t="s">
        <v>2109</v>
      </c>
      <c r="C667" s="26" t="s">
        <v>2110</v>
      </c>
      <c r="D667" s="164" t="s">
        <v>2111</v>
      </c>
      <c r="E667" s="524" t="s">
        <v>2112</v>
      </c>
    </row>
    <row r="668" spans="1:5" ht="41.4">
      <c r="A668" s="286" t="str">
        <f t="shared" si="9"/>
        <v>Quantity of PMNs (WBCs) per low power field</v>
      </c>
      <c r="B668" s="26" t="s">
        <v>2113</v>
      </c>
      <c r="C668" s="26" t="s">
        <v>2114</v>
      </c>
      <c r="D668" s="164" t="s">
        <v>2115</v>
      </c>
      <c r="E668" s="524" t="s">
        <v>2116</v>
      </c>
    </row>
    <row r="669" spans="1:5" ht="27.6">
      <c r="A669" s="286" t="str">
        <f t="shared" si="9"/>
        <v>Quantity of bacterial cells per high power field</v>
      </c>
      <c r="B669" s="164" t="s">
        <v>2117</v>
      </c>
      <c r="C669" s="26" t="s">
        <v>2118</v>
      </c>
      <c r="D669" s="164" t="s">
        <v>2119</v>
      </c>
      <c r="E669" s="524" t="s">
        <v>2120</v>
      </c>
    </row>
    <row r="670" spans="1:5" ht="27.6">
      <c r="A670" s="286" t="str">
        <f t="shared" si="9"/>
        <v>Type of bacterial cells (gram-positive cocci, gram-negative bacilli, etc.)</v>
      </c>
      <c r="B670" s="26" t="s">
        <v>2121</v>
      </c>
      <c r="C670" s="26" t="s">
        <v>2122</v>
      </c>
      <c r="D670" s="279" t="s">
        <v>2123</v>
      </c>
      <c r="E670" s="524" t="s">
        <v>2124</v>
      </c>
    </row>
    <row r="671" spans="1:5" ht="41.4">
      <c r="A671" s="286" t="str">
        <f t="shared" si="9"/>
        <v>Description of colony morphologies (e.g. "mucoid lactose-fermenter" or "beta-hemolytic")</v>
      </c>
      <c r="B671" s="26" t="s">
        <v>2125</v>
      </c>
      <c r="C671" s="26" t="s">
        <v>2126</v>
      </c>
      <c r="D671" s="164" t="s">
        <v>2127</v>
      </c>
      <c r="E671" s="524" t="s">
        <v>2128</v>
      </c>
    </row>
    <row r="672" spans="1:5" ht="55.2">
      <c r="A672" s="286" t="str">
        <f t="shared" si="9"/>
        <v>Description of colony quantities (e.g. "1+, 2+, 3+, 4+" or "few, moderate, many")</v>
      </c>
      <c r="B672" s="26" t="s">
        <v>2129</v>
      </c>
      <c r="C672" s="26" t="s">
        <v>2130</v>
      </c>
      <c r="D672" s="279" t="s">
        <v>2131</v>
      </c>
      <c r="E672" s="524" t="s">
        <v>2132</v>
      </c>
    </row>
    <row r="673" spans="1:5" ht="27.6">
      <c r="A673" s="286" t="str">
        <f t="shared" si="9"/>
        <v>Gram stain of bacterial colony</v>
      </c>
      <c r="B673" s="26" t="s">
        <v>2133</v>
      </c>
      <c r="C673" s="26" t="s">
        <v>2134</v>
      </c>
      <c r="D673" s="279" t="s">
        <v>2135</v>
      </c>
      <c r="E673" s="524" t="s">
        <v>2136</v>
      </c>
    </row>
    <row r="674" spans="1:5" ht="41.4">
      <c r="A674" s="286" t="str">
        <f t="shared" ref="A674:A737" si="10">IF(langue=1,B674,IF(langue=2,C674,IF(langue=3,D674,IF(langue=4,E674,F674))))</f>
        <v>Biochemical test results (e.g., "catalase positive") for conventional test methods</v>
      </c>
      <c r="B674" s="26" t="s">
        <v>2137</v>
      </c>
      <c r="C674" s="26" t="s">
        <v>2138</v>
      </c>
      <c r="D674" s="279" t="s">
        <v>2139</v>
      </c>
      <c r="E674" s="524" t="s">
        <v>2140</v>
      </c>
    </row>
    <row r="675" spans="1:5">
      <c r="A675" s="286" t="str">
        <f t="shared" si="10"/>
        <v>Organism name</v>
      </c>
      <c r="B675" s="26" t="s">
        <v>2141</v>
      </c>
      <c r="C675" s="26" t="s">
        <v>2142</v>
      </c>
      <c r="D675" s="279" t="s">
        <v>2143</v>
      </c>
      <c r="E675" s="524" t="s">
        <v>2144</v>
      </c>
    </row>
    <row r="676" spans="1:5" ht="41.4">
      <c r="A676" s="286" t="str">
        <f t="shared" si="10"/>
        <v>Isolate number (e.g., when more than one pathogen is encountered in a culture: isolate #1, isolate #2)</v>
      </c>
      <c r="B676" s="26" t="s">
        <v>2145</v>
      </c>
      <c r="C676" s="352" t="s">
        <v>2146</v>
      </c>
      <c r="D676" s="279" t="s">
        <v>2147</v>
      </c>
      <c r="E676" s="524" t="s">
        <v>2148</v>
      </c>
    </row>
    <row r="677" spans="1:5" ht="27.6">
      <c r="A677" s="286" t="str">
        <f t="shared" si="10"/>
        <v>AST DATA FIELDS</v>
      </c>
      <c r="B677" s="26" t="s">
        <v>448</v>
      </c>
      <c r="C677" s="26" t="s">
        <v>2149</v>
      </c>
      <c r="D677" s="279" t="s">
        <v>2150</v>
      </c>
      <c r="E677" s="524" t="s">
        <v>2151</v>
      </c>
    </row>
    <row r="678" spans="1:5" ht="55.2">
      <c r="A678" s="286" t="str">
        <f t="shared" si="10"/>
        <v>Can the LIS record the AST method used to obtain each individual antibiotic result (e.g., Etest vs. Vitek vs. disk)?</v>
      </c>
      <c r="B678" s="26" t="s">
        <v>2152</v>
      </c>
      <c r="C678" s="26" t="s">
        <v>2153</v>
      </c>
      <c r="D678" s="164" t="s">
        <v>2154</v>
      </c>
      <c r="E678" s="524" t="s">
        <v>2155</v>
      </c>
    </row>
    <row r="679" spans="1:5" ht="55.2">
      <c r="A679" s="286" t="str">
        <f t="shared" si="10"/>
        <v>Observe data entry into the LIS. Are individual data fields present for each of the following?</v>
      </c>
      <c r="B679" s="26" t="s">
        <v>2029</v>
      </c>
      <c r="C679" s="26" t="s">
        <v>2030</v>
      </c>
      <c r="D679" s="164" t="s">
        <v>2068</v>
      </c>
      <c r="E679" s="524" t="s">
        <v>2032</v>
      </c>
    </row>
    <row r="680" spans="1:5">
      <c r="A680" s="286" t="str">
        <f t="shared" si="10"/>
        <v>Disk diffusion zone sizes</v>
      </c>
      <c r="B680" s="26" t="s">
        <v>2156</v>
      </c>
      <c r="C680" s="26" t="s">
        <v>2157</v>
      </c>
      <c r="D680" s="279" t="s">
        <v>2158</v>
      </c>
      <c r="E680" s="524" t="s">
        <v>2159</v>
      </c>
    </row>
    <row r="681" spans="1:5" ht="27.6">
      <c r="A681" s="286" t="str">
        <f t="shared" si="10"/>
        <v>Disk diffusion interpretation (S/I/R)</v>
      </c>
      <c r="B681" s="26" t="s">
        <v>2160</v>
      </c>
      <c r="C681" s="26" t="s">
        <v>2161</v>
      </c>
      <c r="D681" s="279" t="s">
        <v>2162</v>
      </c>
      <c r="E681" s="524" t="s">
        <v>2163</v>
      </c>
    </row>
    <row r="682" spans="1:5">
      <c r="A682" s="286" t="str">
        <f t="shared" si="10"/>
        <v>MIC values</v>
      </c>
      <c r="B682" s="26" t="s">
        <v>2164</v>
      </c>
      <c r="C682" s="26" t="s">
        <v>2165</v>
      </c>
      <c r="D682" s="279" t="s">
        <v>2166</v>
      </c>
      <c r="E682" s="524" t="s">
        <v>2167</v>
      </c>
    </row>
    <row r="683" spans="1:5">
      <c r="A683" s="286" t="str">
        <f t="shared" si="10"/>
        <v>MIC interpretation (S/I/R)</v>
      </c>
      <c r="B683" s="26" t="s">
        <v>2168</v>
      </c>
      <c r="C683" s="26" t="s">
        <v>2169</v>
      </c>
      <c r="D683" s="279" t="s">
        <v>2170</v>
      </c>
      <c r="E683" s="524" t="s">
        <v>2171</v>
      </c>
    </row>
    <row r="684" spans="1:5" ht="27.6">
      <c r="A684" s="286" t="str">
        <f t="shared" si="10"/>
        <v>Can the LIS record MIC values to three decimal places (e.g., 0.016)?</v>
      </c>
      <c r="B684" s="26" t="s">
        <v>2172</v>
      </c>
      <c r="C684" s="26" t="s">
        <v>2173</v>
      </c>
      <c r="D684" s="279" t="s">
        <v>2174</v>
      </c>
      <c r="E684" s="524" t="s">
        <v>2175</v>
      </c>
    </row>
    <row r="685" spans="1:5" ht="69">
      <c r="A685" s="286" t="str">
        <f t="shared" si="10"/>
        <v xml:space="preserve">Can the LIS suppress (hide) an individual antibiotic result from the patient report without deleting it from the database (for cascade reporting)? </v>
      </c>
      <c r="B685" s="26" t="s">
        <v>2176</v>
      </c>
      <c r="C685" s="26" t="s">
        <v>2177</v>
      </c>
      <c r="D685" s="164" t="s">
        <v>2178</v>
      </c>
      <c r="E685" s="524" t="s">
        <v>2179</v>
      </c>
    </row>
    <row r="686" spans="1:5" ht="55.2">
      <c r="A686" s="286" t="str">
        <f t="shared" si="10"/>
        <v>Does the LIS software automatically interpret zone sizes into Susceptible, Intermediate, Resistant?</v>
      </c>
      <c r="B686" s="26" t="s">
        <v>2180</v>
      </c>
      <c r="C686" s="26" t="s">
        <v>2181</v>
      </c>
      <c r="D686" s="279" t="s">
        <v>2182</v>
      </c>
      <c r="E686" s="524" t="s">
        <v>2183</v>
      </c>
    </row>
    <row r="687" spans="1:5" ht="41.4">
      <c r="A687" s="286" t="str">
        <f t="shared" si="10"/>
        <v>Does the LIS software automatically interpret MICs into Susceptible, Intermediate, Resistant?</v>
      </c>
      <c r="B687" s="26" t="s">
        <v>2184</v>
      </c>
      <c r="C687" s="26" t="s">
        <v>2185</v>
      </c>
      <c r="D687" s="279" t="s">
        <v>2186</v>
      </c>
      <c r="E687" s="524" t="s">
        <v>2187</v>
      </c>
    </row>
    <row r="688" spans="1:5" ht="55.2">
      <c r="A688" s="286" t="str">
        <f t="shared" si="10"/>
        <v>If the LIS software automatically interprets zone sizes or MICs, are the breakpoints updated annually?</v>
      </c>
      <c r="B688" s="26" t="s">
        <v>2188</v>
      </c>
      <c r="C688" s="26" t="s">
        <v>2189</v>
      </c>
      <c r="D688" s="279" t="s">
        <v>2190</v>
      </c>
      <c r="E688" s="524" t="s">
        <v>2191</v>
      </c>
    </row>
    <row r="689" spans="1:5" ht="55.2">
      <c r="A689" s="286" t="str">
        <f t="shared" si="10"/>
        <v xml:space="preserve">If the LIS software automatically interprets zone sizes or MICs, are the breakpoints up to date today? </v>
      </c>
      <c r="B689" s="26" t="s">
        <v>2192</v>
      </c>
      <c r="C689" s="26" t="s">
        <v>2193</v>
      </c>
      <c r="D689" s="279" t="s">
        <v>2194</v>
      </c>
      <c r="E689" s="524" t="s">
        <v>2195</v>
      </c>
    </row>
    <row r="690" spans="1:5" ht="27.6">
      <c r="A690" s="286" t="str">
        <f t="shared" si="10"/>
        <v>REPORTS AND DATA TRANSFER CAPABILITIES</v>
      </c>
      <c r="B690" s="26" t="s">
        <v>452</v>
      </c>
      <c r="C690" s="26" t="s">
        <v>2196</v>
      </c>
      <c r="D690" s="279" t="s">
        <v>454</v>
      </c>
      <c r="E690" s="524" t="s">
        <v>2197</v>
      </c>
    </row>
    <row r="691" spans="1:5" ht="69">
      <c r="A691" s="286" t="str">
        <f t="shared" si="10"/>
        <v>(An “interface” is an electronic connection that allows information to flow automatically between different computer systems and software applications)</v>
      </c>
      <c r="B691" s="26" t="s">
        <v>2198</v>
      </c>
      <c r="C691" s="26" t="s">
        <v>2199</v>
      </c>
      <c r="D691" s="279" t="s">
        <v>2200</v>
      </c>
      <c r="E691" s="524" t="s">
        <v>2201</v>
      </c>
    </row>
    <row r="692" spans="1:5" ht="55.2">
      <c r="A692" s="286" t="str">
        <f t="shared" si="10"/>
        <v>Can the LIS de-duplicate data based on select criteria (e.g., patient ID, organism, specimen date)?</v>
      </c>
      <c r="B692" s="26" t="s">
        <v>2202</v>
      </c>
      <c r="C692" s="26" t="s">
        <v>2203</v>
      </c>
      <c r="D692" s="164" t="s">
        <v>2204</v>
      </c>
      <c r="E692" s="524" t="s">
        <v>2205</v>
      </c>
    </row>
    <row r="693" spans="1:5" ht="27.6">
      <c r="A693" s="286" t="str">
        <f t="shared" si="10"/>
        <v>Can the LIS produce a cumulative antibiogram report?</v>
      </c>
      <c r="B693" s="26" t="s">
        <v>2206</v>
      </c>
      <c r="C693" s="26" t="s">
        <v>2207</v>
      </c>
      <c r="D693" s="279" t="s">
        <v>2208</v>
      </c>
      <c r="E693" s="524" t="s">
        <v>2209</v>
      </c>
    </row>
    <row r="694" spans="1:5" ht="41.4">
      <c r="A694" s="286" t="str">
        <f t="shared" si="10"/>
        <v>Can the LIS interface with automated AST instruments (e.g., Vitek, Phoenix, SIRScan, BIOMIC)?</v>
      </c>
      <c r="B694" s="26" t="s">
        <v>2210</v>
      </c>
      <c r="C694" s="26" t="s">
        <v>2211</v>
      </c>
      <c r="D694" s="279" t="s">
        <v>2212</v>
      </c>
      <c r="E694" s="524" t="s">
        <v>2213</v>
      </c>
    </row>
    <row r="695" spans="1:5" ht="41.4">
      <c r="A695" s="286" t="str">
        <f t="shared" si="10"/>
        <v>Can the LIS interface with the Hospital Information System (HIS)?</v>
      </c>
      <c r="B695" s="26" t="s">
        <v>2214</v>
      </c>
      <c r="C695" s="26" t="s">
        <v>2215</v>
      </c>
      <c r="D695" s="279" t="s">
        <v>2216</v>
      </c>
      <c r="E695" s="524" t="s">
        <v>2217</v>
      </c>
    </row>
    <row r="696" spans="1:5" ht="27.6">
      <c r="A696" s="286" t="str">
        <f t="shared" si="10"/>
        <v>Can the LIS export line lists of data to .txt or .csv files?</v>
      </c>
      <c r="B696" s="26" t="s">
        <v>2218</v>
      </c>
      <c r="C696" s="26" t="s">
        <v>2219</v>
      </c>
      <c r="D696" s="279" t="s">
        <v>2220</v>
      </c>
      <c r="E696" s="524" t="s">
        <v>2221</v>
      </c>
    </row>
    <row r="697" spans="1:5">
      <c r="A697" s="286" t="str">
        <f t="shared" si="10"/>
        <v>INTERFACE CONNECTIVITY</v>
      </c>
      <c r="B697" s="26" t="s">
        <v>456</v>
      </c>
      <c r="C697" s="26" t="s">
        <v>457</v>
      </c>
      <c r="D697" s="279" t="s">
        <v>458</v>
      </c>
      <c r="E697" s="524" t="s">
        <v>459</v>
      </c>
    </row>
    <row r="698" spans="1:5" ht="69">
      <c r="A698" s="286" t="str">
        <f t="shared" si="10"/>
        <v>(An “interface” is an electronic connection that allows information to flow automatically between different computer systems and software applications)</v>
      </c>
      <c r="B698" s="26" t="s">
        <v>2198</v>
      </c>
      <c r="C698" s="26" t="s">
        <v>2222</v>
      </c>
      <c r="D698" s="279" t="s">
        <v>2200</v>
      </c>
      <c r="E698" s="524" t="s">
        <v>2223</v>
      </c>
    </row>
    <row r="699" spans="1:5" ht="55.2">
      <c r="A699" s="286" t="str">
        <f t="shared" si="10"/>
        <v>If the lab uses an automated AST instrument, describe the data flow between the LIS and the instrument software.</v>
      </c>
      <c r="B699" s="26" t="s">
        <v>2224</v>
      </c>
      <c r="C699" s="26" t="s">
        <v>2225</v>
      </c>
      <c r="D699" s="279" t="s">
        <v>2226</v>
      </c>
      <c r="E699" s="524" t="s">
        <v>2227</v>
      </c>
    </row>
    <row r="700" spans="1:5" ht="27.6">
      <c r="A700" s="286" t="str">
        <f t="shared" si="10"/>
        <v>1: Systems are not currently interfaced</v>
      </c>
      <c r="B700" s="26" t="s">
        <v>2228</v>
      </c>
      <c r="C700" s="26" t="s">
        <v>2229</v>
      </c>
      <c r="D700" s="279" t="s">
        <v>2230</v>
      </c>
      <c r="E700" s="524" t="s">
        <v>2231</v>
      </c>
    </row>
    <row r="701" spans="1:5" ht="110.4">
      <c r="A701" s="286" t="str">
        <f t="shared" si="10"/>
        <v>2: Bidirectional: Patient information (e.g., medical record number, specimen number, specimen type) flows from the LIS into the instrument software, AND results (ID and AST) flow from the instrument software back into the LIS.</v>
      </c>
      <c r="B701" s="26" t="s">
        <v>2232</v>
      </c>
      <c r="C701" s="26" t="s">
        <v>2233</v>
      </c>
      <c r="D701" s="279" t="s">
        <v>2234</v>
      </c>
      <c r="E701" s="524" t="s">
        <v>2235</v>
      </c>
    </row>
    <row r="702" spans="1:5" ht="55.2">
      <c r="A702" s="286" t="str">
        <f t="shared" si="10"/>
        <v>3: Uni-directional: Patient information flows from the LIS into the instrument software, but results do not transmit back into the LIS</v>
      </c>
      <c r="B702" s="26" t="s">
        <v>2236</v>
      </c>
      <c r="C702" s="26" t="s">
        <v>2237</v>
      </c>
      <c r="D702" s="279" t="s">
        <v>2238</v>
      </c>
      <c r="E702" s="524" t="s">
        <v>2239</v>
      </c>
    </row>
    <row r="703" spans="1:5" ht="82.8">
      <c r="A703" s="286" t="str">
        <f t="shared" si="10"/>
        <v>4: Uni-directional: Results transmit from the instrument software into the LIS, but patient information cannot flow from the LIS into the instrument software.</v>
      </c>
      <c r="B703" s="93" t="s">
        <v>2240</v>
      </c>
      <c r="C703" s="93" t="s">
        <v>2241</v>
      </c>
      <c r="D703" s="284" t="s">
        <v>2242</v>
      </c>
      <c r="E703" s="524" t="s">
        <v>2243</v>
      </c>
    </row>
    <row r="704" spans="1:5">
      <c r="A704" s="286" t="str">
        <f t="shared" si="10"/>
        <v>NA: no automated instruments</v>
      </c>
      <c r="B704" s="26" t="s">
        <v>2244</v>
      </c>
      <c r="C704" s="26" t="s">
        <v>2245</v>
      </c>
      <c r="D704" s="279" t="s">
        <v>2246</v>
      </c>
      <c r="E704" s="524" t="s">
        <v>2247</v>
      </c>
    </row>
    <row r="705" spans="1:5" ht="41.4">
      <c r="A705" s="286" t="str">
        <f t="shared" si="10"/>
        <v xml:space="preserve">Does the hospital use a Hospital Information System (HIS) or Electronic Medical Record (EMR)? </v>
      </c>
      <c r="B705" s="26" t="s">
        <v>2248</v>
      </c>
      <c r="C705" s="26" t="s">
        <v>2249</v>
      </c>
      <c r="D705" s="279" t="s">
        <v>2250</v>
      </c>
      <c r="E705" s="524" t="s">
        <v>2251</v>
      </c>
    </row>
    <row r="706" spans="1:5" ht="27.6">
      <c r="A706" s="286" t="str">
        <f t="shared" si="10"/>
        <v>If yes, please record system name in comments</v>
      </c>
      <c r="B706" s="26" t="s">
        <v>2252</v>
      </c>
      <c r="C706" s="26" t="s">
        <v>2253</v>
      </c>
      <c r="D706" s="279" t="s">
        <v>2254</v>
      </c>
      <c r="E706" s="524" t="s">
        <v>2255</v>
      </c>
    </row>
    <row r="707" spans="1:5" ht="41.4">
      <c r="A707" s="286" t="str">
        <f t="shared" si="10"/>
        <v>If the LIS and HIS/EMR are interfaced, describe the data flow between the LIS and the HIS/EMR</v>
      </c>
      <c r="B707" s="26" t="s">
        <v>2256</v>
      </c>
      <c r="C707" s="26" t="s">
        <v>2257</v>
      </c>
      <c r="D707" s="279" t="s">
        <v>2258</v>
      </c>
      <c r="E707" s="524" t="s">
        <v>2259</v>
      </c>
    </row>
    <row r="708" spans="1:5">
      <c r="A708" s="286" t="str">
        <f t="shared" si="10"/>
        <v>1: Systems are not interfaced</v>
      </c>
      <c r="B708" s="26" t="s">
        <v>2260</v>
      </c>
      <c r="C708" s="26" t="s">
        <v>2261</v>
      </c>
      <c r="D708" s="279" t="s">
        <v>2262</v>
      </c>
      <c r="E708" s="524" t="s">
        <v>2263</v>
      </c>
    </row>
    <row r="709" spans="1:5" ht="96.6">
      <c r="A709" s="286" t="str">
        <f t="shared" si="10"/>
        <v xml:space="preserve">2: Bidirectional: Patient information (e.g., demographics, lab orders) flows from the HIS into the LIS, AND patient microbiology (ID/AST) results flow from the LIS back into the HIS. </v>
      </c>
      <c r="B709" s="26" t="s">
        <v>2264</v>
      </c>
      <c r="C709" s="352" t="s">
        <v>2265</v>
      </c>
      <c r="D709" s="279" t="s">
        <v>2266</v>
      </c>
      <c r="E709" s="524" t="s">
        <v>2267</v>
      </c>
    </row>
    <row r="710" spans="1:5" ht="69">
      <c r="A710" s="286" t="str">
        <f t="shared" si="10"/>
        <v xml:space="preserve">3: Uni-directional: Patient demographics transmit from the HIS into the LIS, but patient results do not transmit back into the HIS </v>
      </c>
      <c r="B710" s="26" t="s">
        <v>2268</v>
      </c>
      <c r="C710" s="26" t="s">
        <v>2269</v>
      </c>
      <c r="D710" s="279" t="s">
        <v>2270</v>
      </c>
      <c r="E710" s="524" t="s">
        <v>2271</v>
      </c>
    </row>
    <row r="711" spans="1:5" ht="69">
      <c r="A711" s="286" t="str">
        <f t="shared" si="10"/>
        <v xml:space="preserve">4: Uni-directional: Patient results transmit from the LIS into the HIS, but patient demographics cannot transmit from the HIS into the LIS. </v>
      </c>
      <c r="B711" s="26" t="s">
        <v>2272</v>
      </c>
      <c r="C711" s="26" t="s">
        <v>2273</v>
      </c>
      <c r="D711" s="279" t="s">
        <v>2274</v>
      </c>
      <c r="E711" s="524" t="s">
        <v>2275</v>
      </c>
    </row>
    <row r="712" spans="1:5">
      <c r="A712" s="286" t="str">
        <f t="shared" si="10"/>
        <v xml:space="preserve">NA: no LIS or no HIS </v>
      </c>
      <c r="B712" s="8" t="s">
        <v>2276</v>
      </c>
      <c r="C712" s="8" t="s">
        <v>2277</v>
      </c>
      <c r="D712" s="281" t="s">
        <v>2278</v>
      </c>
      <c r="E712" s="524" t="s">
        <v>2279</v>
      </c>
    </row>
    <row r="713" spans="1:5">
      <c r="A713" s="286" t="str">
        <f t="shared" si="10"/>
        <v>3- DATA MANAGEMENT</v>
      </c>
      <c r="B713" s="26" t="s">
        <v>460</v>
      </c>
      <c r="C713" s="26" t="s">
        <v>461</v>
      </c>
      <c r="D713" s="279" t="s">
        <v>462</v>
      </c>
      <c r="E713" s="524" t="s">
        <v>2280</v>
      </c>
    </row>
    <row r="714" spans="1:5" ht="55.2">
      <c r="A714" s="286" t="str">
        <f t="shared" si="10"/>
        <v>Please note: all questions refer only to clinical patient specimens, NOT to research specimens</v>
      </c>
      <c r="B714" s="26" t="s">
        <v>2281</v>
      </c>
      <c r="C714" s="26" t="s">
        <v>2282</v>
      </c>
      <c r="D714" s="279" t="s">
        <v>2283</v>
      </c>
      <c r="E714" s="524" t="s">
        <v>2284</v>
      </c>
    </row>
    <row r="715" spans="1:5" ht="27.6">
      <c r="A715" s="286" t="str">
        <f t="shared" si="10"/>
        <v>PATIENT AND SPECIMEN IDENTIFICATION</v>
      </c>
      <c r="B715" s="26" t="s">
        <v>464</v>
      </c>
      <c r="C715" s="26" t="s">
        <v>465</v>
      </c>
      <c r="D715" s="279" t="s">
        <v>466</v>
      </c>
      <c r="E715" s="524" t="s">
        <v>2285</v>
      </c>
    </row>
    <row r="716" spans="1:5" ht="41.4">
      <c r="A716" s="286" t="str">
        <f t="shared" si="10"/>
        <v>Are inpatients assigned a unique patient ID number upon admission to the hospital?</v>
      </c>
      <c r="B716" s="26" t="s">
        <v>2286</v>
      </c>
      <c r="C716" s="26" t="s">
        <v>2287</v>
      </c>
      <c r="D716" s="279" t="s">
        <v>2288</v>
      </c>
      <c r="E716" s="524" t="s">
        <v>2289</v>
      </c>
    </row>
    <row r="717" spans="1:5" ht="55.2">
      <c r="A717" s="286" t="str">
        <f t="shared" si="10"/>
        <v>Are outpatients assigned a unique patient ID number upon registration at the clinic?</v>
      </c>
      <c r="B717" s="26" t="s">
        <v>2290</v>
      </c>
      <c r="C717" s="26" t="s">
        <v>2291</v>
      </c>
      <c r="D717" s="279" t="s">
        <v>2292</v>
      </c>
      <c r="E717" s="524" t="s">
        <v>2293</v>
      </c>
    </row>
    <row r="718" spans="1:5" ht="69">
      <c r="A718" s="286" t="str">
        <f t="shared" si="10"/>
        <v>Are patient ID numbers assigned in such a way that no two patients are given the same number in the course of one year?</v>
      </c>
      <c r="B718" s="26" t="s">
        <v>2294</v>
      </c>
      <c r="C718" s="26" t="s">
        <v>2295</v>
      </c>
      <c r="D718" s="164" t="s">
        <v>2296</v>
      </c>
      <c r="E718" s="524" t="s">
        <v>2297</v>
      </c>
    </row>
    <row r="719" spans="1:5" ht="41.4">
      <c r="A719" s="286" t="str">
        <f t="shared" si="10"/>
        <v>Do patients retain the same patient ID number each time they are admitted to the hospital?</v>
      </c>
      <c r="B719" s="26" t="s">
        <v>2298</v>
      </c>
      <c r="C719" s="26" t="s">
        <v>2299</v>
      </c>
      <c r="D719" s="279" t="s">
        <v>2300</v>
      </c>
      <c r="E719" s="524" t="s">
        <v>2301</v>
      </c>
    </row>
    <row r="720" spans="1:5" ht="55.2">
      <c r="A720" s="286" t="str">
        <f t="shared" si="10"/>
        <v>Does the laboratory use the same patient ID numbers assigned by the hospital and/or clinics?</v>
      </c>
      <c r="B720" s="26" t="s">
        <v>2302</v>
      </c>
      <c r="C720" s="26" t="s">
        <v>2303</v>
      </c>
      <c r="D720" s="279" t="s">
        <v>2304</v>
      </c>
      <c r="E720" s="524" t="s">
        <v>2305</v>
      </c>
    </row>
    <row r="721" spans="1:5" ht="41.4">
      <c r="A721" s="286" t="str">
        <f t="shared" si="10"/>
        <v>Does the laboratory assign a unique specimen ID number to each specimen received in the lab?</v>
      </c>
      <c r="B721" s="26" t="s">
        <v>2306</v>
      </c>
      <c r="C721" s="26" t="s">
        <v>2307</v>
      </c>
      <c r="D721" s="279" t="s">
        <v>2308</v>
      </c>
      <c r="E721" s="524" t="s">
        <v>2309</v>
      </c>
    </row>
    <row r="722" spans="1:5" ht="55.2">
      <c r="A722" s="286" t="str">
        <f t="shared" si="10"/>
        <v>Are specimen numbers assigned in such a way that no two specimens are given the same number during one year?</v>
      </c>
      <c r="B722" s="26" t="s">
        <v>2310</v>
      </c>
      <c r="C722" s="26" t="s">
        <v>2311</v>
      </c>
      <c r="D722" s="279" t="s">
        <v>2312</v>
      </c>
      <c r="E722" s="524" t="s">
        <v>2313</v>
      </c>
    </row>
    <row r="723" spans="1:5" ht="27.6">
      <c r="A723" s="286" t="str">
        <f t="shared" si="10"/>
        <v>SPECIMEN REQUISITION FORM</v>
      </c>
      <c r="B723" s="26" t="s">
        <v>468</v>
      </c>
      <c r="C723" s="26" t="s">
        <v>2314</v>
      </c>
      <c r="D723" s="279" t="s">
        <v>470</v>
      </c>
      <c r="E723" s="524" t="s">
        <v>471</v>
      </c>
    </row>
    <row r="724" spans="1:5" ht="41.4">
      <c r="A724" s="286" t="str">
        <f t="shared" si="10"/>
        <v>Review the specimen requisition form. Does it contain each of the following data fields?</v>
      </c>
      <c r="B724" s="26" t="s">
        <v>2315</v>
      </c>
      <c r="C724" s="26" t="s">
        <v>2316</v>
      </c>
      <c r="D724" s="279" t="s">
        <v>2317</v>
      </c>
      <c r="E724" s="524" t="s">
        <v>2318</v>
      </c>
    </row>
    <row r="725" spans="1:5">
      <c r="A725" s="286" t="str">
        <f t="shared" si="10"/>
        <v>Patient Name</v>
      </c>
      <c r="B725" s="26" t="s">
        <v>2319</v>
      </c>
      <c r="C725" s="26" t="s">
        <v>2320</v>
      </c>
      <c r="D725" s="279" t="s">
        <v>2039</v>
      </c>
      <c r="E725" s="524" t="s">
        <v>2321</v>
      </c>
    </row>
    <row r="726" spans="1:5">
      <c r="A726" s="286" t="str">
        <f t="shared" si="10"/>
        <v>Patient Identification Number</v>
      </c>
      <c r="B726" s="26" t="s">
        <v>2041</v>
      </c>
      <c r="C726" s="26" t="s">
        <v>2042</v>
      </c>
      <c r="D726" s="279" t="s">
        <v>2043</v>
      </c>
      <c r="E726" s="524" t="s">
        <v>2044</v>
      </c>
    </row>
    <row r="727" spans="1:5">
      <c r="A727" s="286" t="str">
        <f t="shared" si="10"/>
        <v>Patient Date of Birth or Age</v>
      </c>
      <c r="B727" s="26" t="s">
        <v>2322</v>
      </c>
      <c r="C727" s="26" t="s">
        <v>2323</v>
      </c>
      <c r="D727" s="279" t="s">
        <v>2324</v>
      </c>
      <c r="E727" s="524" t="s">
        <v>2325</v>
      </c>
    </row>
    <row r="728" spans="1:5" ht="41.4">
      <c r="A728" s="286" t="str">
        <f t="shared" si="10"/>
        <v>Patient Location (Ward or unit at time of specimen collection, e.g., "ICU")</v>
      </c>
      <c r="B728" s="26" t="s">
        <v>2326</v>
      </c>
      <c r="C728" s="26" t="s">
        <v>2327</v>
      </c>
      <c r="D728" s="279" t="s">
        <v>2059</v>
      </c>
      <c r="E728" s="524" t="s">
        <v>2328</v>
      </c>
    </row>
    <row r="729" spans="1:5">
      <c r="A729" s="286" t="str">
        <f t="shared" si="10"/>
        <v>Specimen Type (e.g., Wound)</v>
      </c>
      <c r="B729" s="26" t="s">
        <v>2329</v>
      </c>
      <c r="C729" s="26" t="s">
        <v>2074</v>
      </c>
      <c r="D729" s="279" t="s">
        <v>2075</v>
      </c>
      <c r="E729" s="524" t="s">
        <v>2076</v>
      </c>
    </row>
    <row r="730" spans="1:5" ht="27.6">
      <c r="A730" s="286" t="str">
        <f t="shared" si="10"/>
        <v>Specimen Source/Body Site (e.g., Arm)</v>
      </c>
      <c r="B730" s="26" t="s">
        <v>2077</v>
      </c>
      <c r="C730" s="26" t="s">
        <v>2330</v>
      </c>
      <c r="D730" s="279" t="s">
        <v>2331</v>
      </c>
      <c r="E730" s="524" t="s">
        <v>2332</v>
      </c>
    </row>
    <row r="731" spans="1:5">
      <c r="A731" s="286" t="str">
        <f t="shared" si="10"/>
        <v>Date of specimen collection</v>
      </c>
      <c r="B731" s="26" t="s">
        <v>2085</v>
      </c>
      <c r="C731" s="26" t="s">
        <v>2086</v>
      </c>
      <c r="D731" s="279" t="s">
        <v>2087</v>
      </c>
      <c r="E731" s="524" t="s">
        <v>2333</v>
      </c>
    </row>
    <row r="732" spans="1:5">
      <c r="A732" s="286" t="str">
        <f t="shared" si="10"/>
        <v>Time of specimen collection</v>
      </c>
      <c r="B732" s="26" t="s">
        <v>2089</v>
      </c>
      <c r="C732" s="26" t="s">
        <v>2334</v>
      </c>
      <c r="D732" s="279" t="s">
        <v>2335</v>
      </c>
      <c r="E732" s="524" t="s">
        <v>2336</v>
      </c>
    </row>
    <row r="733" spans="1:5" ht="27.6">
      <c r="A733" s="286" t="str">
        <f t="shared" si="10"/>
        <v>Test order (e.g., culture &amp; AST)</v>
      </c>
      <c r="B733" s="26" t="s">
        <v>2337</v>
      </c>
      <c r="C733" s="26" t="s">
        <v>2338</v>
      </c>
      <c r="D733" s="164" t="s">
        <v>2339</v>
      </c>
      <c r="E733" s="524" t="s">
        <v>2340</v>
      </c>
    </row>
    <row r="734" spans="1:5" ht="27.6">
      <c r="A734" s="286" t="str">
        <f t="shared" si="10"/>
        <v>Name of physician ordering the test</v>
      </c>
      <c r="B734" s="26" t="s">
        <v>2341</v>
      </c>
      <c r="C734" s="26" t="s">
        <v>2342</v>
      </c>
      <c r="D734" s="279" t="s">
        <v>2343</v>
      </c>
      <c r="E734" s="524" t="s">
        <v>2344</v>
      </c>
    </row>
    <row r="735" spans="1:5" ht="27.6">
      <c r="A735" s="286" t="str">
        <f t="shared" si="10"/>
        <v>Name or initials of person collecting specimen</v>
      </c>
      <c r="B735" s="26" t="s">
        <v>2345</v>
      </c>
      <c r="C735" s="26" t="s">
        <v>2346</v>
      </c>
      <c r="D735" s="279" t="s">
        <v>2347</v>
      </c>
      <c r="E735" s="524" t="s">
        <v>2348</v>
      </c>
    </row>
    <row r="736" spans="1:5">
      <c r="A736" s="286" t="str">
        <f t="shared" si="10"/>
        <v>ORDER ENTRY</v>
      </c>
      <c r="B736" s="26" t="s">
        <v>472</v>
      </c>
      <c r="C736" s="26" t="s">
        <v>473</v>
      </c>
      <c r="D736" s="164" t="s">
        <v>474</v>
      </c>
      <c r="E736" s="524" t="s">
        <v>2349</v>
      </c>
    </row>
    <row r="737" spans="1:5" ht="69">
      <c r="A737" s="286" t="str">
        <f t="shared" si="10"/>
        <v>Review the process of specimen receiving/order entry. Are each of the following variables captured in the logbook or computer system?</v>
      </c>
      <c r="B737" s="26" t="s">
        <v>2350</v>
      </c>
      <c r="C737" s="26" t="s">
        <v>2351</v>
      </c>
      <c r="D737" s="164" t="s">
        <v>2352</v>
      </c>
      <c r="E737" s="524" t="s">
        <v>2353</v>
      </c>
    </row>
    <row r="738" spans="1:5">
      <c r="A738" s="286" t="str">
        <f t="shared" ref="A738:A801" si="11">IF(langue=1,B738,IF(langue=2,C738,IF(langue=3,D738,IF(langue=4,E738,F738))))</f>
        <v>Patient Name</v>
      </c>
      <c r="B738" s="26" t="s">
        <v>2319</v>
      </c>
      <c r="C738" s="26" t="s">
        <v>2320</v>
      </c>
      <c r="D738" s="279" t="s">
        <v>2039</v>
      </c>
      <c r="E738" s="524" t="s">
        <v>2321</v>
      </c>
    </row>
    <row r="739" spans="1:5">
      <c r="A739" s="286" t="str">
        <f t="shared" si="11"/>
        <v>Patient Identification Number</v>
      </c>
      <c r="B739" s="26" t="s">
        <v>2041</v>
      </c>
      <c r="C739" s="26" t="s">
        <v>2042</v>
      </c>
      <c r="D739" s="279" t="s">
        <v>2043</v>
      </c>
      <c r="E739" s="524" t="s">
        <v>2044</v>
      </c>
    </row>
    <row r="740" spans="1:5">
      <c r="A740" s="286" t="str">
        <f t="shared" si="11"/>
        <v>Patient Date of Birth or Age</v>
      </c>
      <c r="B740" s="26" t="s">
        <v>2322</v>
      </c>
      <c r="C740" s="26" t="s">
        <v>2323</v>
      </c>
      <c r="D740" s="279" t="s">
        <v>2324</v>
      </c>
      <c r="E740" s="524" t="s">
        <v>2325</v>
      </c>
    </row>
    <row r="741" spans="1:5" ht="41.4">
      <c r="A741" s="286" t="str">
        <f t="shared" si="11"/>
        <v>Patient Location (Ward or unit at time of specimen collection, e.g., "ICU")</v>
      </c>
      <c r="B741" s="26" t="s">
        <v>2326</v>
      </c>
      <c r="C741" s="26" t="s">
        <v>2327</v>
      </c>
      <c r="D741" s="279" t="s">
        <v>2354</v>
      </c>
      <c r="E741" s="524" t="s">
        <v>2328</v>
      </c>
    </row>
    <row r="742" spans="1:5">
      <c r="A742" s="286" t="str">
        <f t="shared" si="11"/>
        <v>Specimen Type (e.g., Wound)</v>
      </c>
      <c r="B742" s="26" t="s">
        <v>2329</v>
      </c>
      <c r="C742" s="26" t="s">
        <v>2074</v>
      </c>
      <c r="D742" s="279" t="s">
        <v>2075</v>
      </c>
      <c r="E742" s="524" t="s">
        <v>2076</v>
      </c>
    </row>
    <row r="743" spans="1:5" ht="27.6">
      <c r="A743" s="286" t="str">
        <f t="shared" si="11"/>
        <v>Specimen Source/Body Site (e.g., Arm)</v>
      </c>
      <c r="B743" s="26" t="s">
        <v>2077</v>
      </c>
      <c r="C743" s="26" t="s">
        <v>2355</v>
      </c>
      <c r="D743" s="279" t="s">
        <v>2331</v>
      </c>
      <c r="E743" s="524" t="s">
        <v>2356</v>
      </c>
    </row>
    <row r="744" spans="1:5">
      <c r="A744" s="286" t="str">
        <f t="shared" si="11"/>
        <v>Date of specimen collection</v>
      </c>
      <c r="B744" s="26" t="s">
        <v>2085</v>
      </c>
      <c r="C744" s="26" t="s">
        <v>2086</v>
      </c>
      <c r="D744" s="279" t="s">
        <v>2087</v>
      </c>
      <c r="E744" s="524" t="s">
        <v>2333</v>
      </c>
    </row>
    <row r="745" spans="1:5">
      <c r="A745" s="286" t="str">
        <f t="shared" si="11"/>
        <v>Time of specimen collection</v>
      </c>
      <c r="B745" s="26" t="s">
        <v>2089</v>
      </c>
      <c r="C745" s="26" t="s">
        <v>2334</v>
      </c>
      <c r="D745" s="279" t="s">
        <v>2335</v>
      </c>
      <c r="E745" s="524" t="s">
        <v>2336</v>
      </c>
    </row>
    <row r="746" spans="1:5">
      <c r="A746" s="286" t="str">
        <f t="shared" si="11"/>
        <v>Date of specimen receipt</v>
      </c>
      <c r="B746" s="26" t="s">
        <v>2093</v>
      </c>
      <c r="C746" s="26" t="s">
        <v>2094</v>
      </c>
      <c r="D746" s="279" t="s">
        <v>2095</v>
      </c>
      <c r="E746" s="524" t="s">
        <v>2096</v>
      </c>
    </row>
    <row r="747" spans="1:5">
      <c r="A747" s="286" t="str">
        <f t="shared" si="11"/>
        <v>Time of specimen receipt</v>
      </c>
      <c r="B747" s="26" t="s">
        <v>2097</v>
      </c>
      <c r="C747" s="26" t="s">
        <v>2098</v>
      </c>
      <c r="D747" s="279" t="s">
        <v>2099</v>
      </c>
      <c r="E747" s="524" t="s">
        <v>2100</v>
      </c>
    </row>
    <row r="748" spans="1:5" ht="27.6">
      <c r="A748" s="286" t="str">
        <f t="shared" si="11"/>
        <v>Test order (e.g., culture &amp; AST)</v>
      </c>
      <c r="B748" s="26" t="s">
        <v>2337</v>
      </c>
      <c r="C748" s="26" t="s">
        <v>2357</v>
      </c>
      <c r="D748" s="164" t="s">
        <v>2339</v>
      </c>
      <c r="E748" s="524" t="s">
        <v>2340</v>
      </c>
    </row>
    <row r="749" spans="1:5" ht="27.6">
      <c r="A749" s="286" t="str">
        <f t="shared" si="11"/>
        <v>Name of physician ordering the test</v>
      </c>
      <c r="B749" s="26" t="s">
        <v>2341</v>
      </c>
      <c r="C749" s="26" t="s">
        <v>2358</v>
      </c>
      <c r="D749" s="279" t="s">
        <v>2343</v>
      </c>
      <c r="E749" s="524" t="s">
        <v>2344</v>
      </c>
    </row>
    <row r="750" spans="1:5" ht="27.6">
      <c r="A750" s="286" t="str">
        <f t="shared" si="11"/>
        <v>Name or initials of person receiving specimen</v>
      </c>
      <c r="B750" s="26" t="s">
        <v>2359</v>
      </c>
      <c r="C750" s="26" t="s">
        <v>2360</v>
      </c>
      <c r="D750" s="279" t="s">
        <v>2361</v>
      </c>
      <c r="E750" s="524" t="s">
        <v>2362</v>
      </c>
    </row>
    <row r="751" spans="1:5">
      <c r="A751" s="286" t="str">
        <f t="shared" si="11"/>
        <v>CULTURE OBSERVATIONS</v>
      </c>
      <c r="B751" s="26" t="s">
        <v>476</v>
      </c>
      <c r="C751" s="26" t="s">
        <v>477</v>
      </c>
      <c r="D751" s="279" t="s">
        <v>478</v>
      </c>
      <c r="E751" s="524" t="s">
        <v>479</v>
      </c>
    </row>
    <row r="752" spans="1:5" ht="69">
      <c r="A752" s="286" t="str">
        <f t="shared" si="11"/>
        <v>The work card is where culture observations and biochemical test results are recorded. Work cards may be paper or electronic.</v>
      </c>
      <c r="B752" s="26" t="s">
        <v>2363</v>
      </c>
      <c r="C752" s="26" t="s">
        <v>2364</v>
      </c>
      <c r="D752" s="164" t="s">
        <v>2365</v>
      </c>
      <c r="E752" s="524" t="s">
        <v>2366</v>
      </c>
    </row>
    <row r="753" spans="1:5" ht="41.4">
      <c r="A753" s="286" t="str">
        <f t="shared" si="11"/>
        <v>Review the workcard of a recently completed culture. Are the following elements recorded?</v>
      </c>
      <c r="B753" s="26" t="s">
        <v>2367</v>
      </c>
      <c r="C753" s="26" t="s">
        <v>2368</v>
      </c>
      <c r="D753" s="164" t="s">
        <v>2369</v>
      </c>
      <c r="E753" s="524" t="s">
        <v>2370</v>
      </c>
    </row>
    <row r="754" spans="1:5" ht="27.6">
      <c r="A754" s="286" t="str">
        <f t="shared" si="11"/>
        <v>Gram stain of specimen (e.g., sputum Gram stain)</v>
      </c>
      <c r="B754" s="26" t="s">
        <v>2105</v>
      </c>
      <c r="C754" s="26" t="s">
        <v>2106</v>
      </c>
      <c r="D754" s="279" t="s">
        <v>2107</v>
      </c>
      <c r="E754" s="524" t="s">
        <v>2371</v>
      </c>
    </row>
    <row r="755" spans="1:5" ht="27.6">
      <c r="A755" s="286" t="str">
        <f t="shared" si="11"/>
        <v>Quantity of Epithelial Cells per low power field</v>
      </c>
      <c r="B755" s="26" t="s">
        <v>2109</v>
      </c>
      <c r="C755" s="26" t="s">
        <v>2110</v>
      </c>
      <c r="D755" s="164" t="s">
        <v>2111</v>
      </c>
      <c r="E755" s="524" t="s">
        <v>2112</v>
      </c>
    </row>
    <row r="756" spans="1:5" ht="41.4">
      <c r="A756" s="286" t="str">
        <f t="shared" si="11"/>
        <v>Quantity of PMNs (WBCs) per low power field</v>
      </c>
      <c r="B756" s="26" t="s">
        <v>2113</v>
      </c>
      <c r="C756" s="26" t="s">
        <v>2114</v>
      </c>
      <c r="D756" s="164" t="s">
        <v>2115</v>
      </c>
      <c r="E756" s="524" t="s">
        <v>2116</v>
      </c>
    </row>
    <row r="757" spans="1:5" ht="27.6">
      <c r="A757" s="286" t="str">
        <f t="shared" si="11"/>
        <v>Quantity of bacterial cells per high power field</v>
      </c>
      <c r="B757" s="26" t="s">
        <v>2117</v>
      </c>
      <c r="C757" s="26" t="s">
        <v>2118</v>
      </c>
      <c r="D757" s="164" t="s">
        <v>2119</v>
      </c>
      <c r="E757" s="524" t="s">
        <v>2120</v>
      </c>
    </row>
    <row r="758" spans="1:5" ht="27.6">
      <c r="A758" s="286" t="str">
        <f t="shared" si="11"/>
        <v>Type of bacterial cells (gram-positive cocci, gram-negative bacilli, etc.)</v>
      </c>
      <c r="B758" s="26" t="s">
        <v>2121</v>
      </c>
      <c r="C758" s="26" t="s">
        <v>2122</v>
      </c>
      <c r="D758" s="279" t="s">
        <v>2123</v>
      </c>
      <c r="E758" s="524" t="s">
        <v>2124</v>
      </c>
    </row>
    <row r="759" spans="1:5" ht="41.4">
      <c r="A759" s="286" t="str">
        <f t="shared" si="11"/>
        <v>Description of colony morphologies (e.g. "mucoid lactose-fermenter" or "beta-hemolytic")</v>
      </c>
      <c r="B759" s="26" t="s">
        <v>2125</v>
      </c>
      <c r="C759" s="26" t="s">
        <v>2372</v>
      </c>
      <c r="D759" s="164" t="s">
        <v>2127</v>
      </c>
      <c r="E759" s="524" t="s">
        <v>2128</v>
      </c>
    </row>
    <row r="760" spans="1:5" ht="55.2">
      <c r="A760" s="286" t="str">
        <f t="shared" si="11"/>
        <v>Description of colony quantities (e.g. "1+, 2+, 3+, 4+" or "few, moderate, many")</v>
      </c>
      <c r="B760" s="26" t="s">
        <v>2129</v>
      </c>
      <c r="C760" s="26" t="s">
        <v>2130</v>
      </c>
      <c r="D760" s="279" t="s">
        <v>2131</v>
      </c>
      <c r="E760" s="524" t="s">
        <v>2132</v>
      </c>
    </row>
    <row r="761" spans="1:5" ht="41.4">
      <c r="A761" s="286" t="str">
        <f t="shared" si="11"/>
        <v>Gram stain of bacterial growth colonies (gram-positive cocci, gram-negative bacilli, etc.)</v>
      </c>
      <c r="B761" s="26" t="s">
        <v>2373</v>
      </c>
      <c r="C761" s="352" t="s">
        <v>2374</v>
      </c>
      <c r="D761" s="164" t="s">
        <v>2375</v>
      </c>
      <c r="E761" s="524" t="s">
        <v>2376</v>
      </c>
    </row>
    <row r="762" spans="1:5" ht="41.4">
      <c r="A762" s="286" t="str">
        <f t="shared" si="11"/>
        <v>Biochemical test results (e.g., "catalase positive") for conventional test methods</v>
      </c>
      <c r="B762" s="26" t="s">
        <v>2137</v>
      </c>
      <c r="C762" s="26" t="s">
        <v>2138</v>
      </c>
      <c r="D762" s="279" t="s">
        <v>2377</v>
      </c>
      <c r="E762" s="524" t="s">
        <v>2378</v>
      </c>
    </row>
    <row r="763" spans="1:5" ht="41.4">
      <c r="A763" s="286" t="str">
        <f t="shared" si="11"/>
        <v>AST Method used for each antibiotic (e.g., Disk, Etest, Instrument)</v>
      </c>
      <c r="B763" s="26" t="s">
        <v>2379</v>
      </c>
      <c r="C763" s="26" t="s">
        <v>2380</v>
      </c>
      <c r="D763" s="279" t="s">
        <v>2381</v>
      </c>
      <c r="E763" s="524" t="s">
        <v>2382</v>
      </c>
    </row>
    <row r="764" spans="1:5">
      <c r="A764" s="286" t="str">
        <f t="shared" si="11"/>
        <v>Disk diffusion zone sizes</v>
      </c>
      <c r="B764" s="26" t="s">
        <v>2156</v>
      </c>
      <c r="C764" s="26" t="s">
        <v>2383</v>
      </c>
      <c r="D764" s="279" t="s">
        <v>2158</v>
      </c>
      <c r="E764" s="524" t="s">
        <v>2384</v>
      </c>
    </row>
    <row r="765" spans="1:5" ht="27.6">
      <c r="A765" s="286" t="str">
        <f t="shared" si="11"/>
        <v>Disk diffusion interpretation (S/I/R)</v>
      </c>
      <c r="B765" s="26" t="s">
        <v>2160</v>
      </c>
      <c r="C765" s="26" t="s">
        <v>2385</v>
      </c>
      <c r="D765" s="279" t="s">
        <v>2386</v>
      </c>
      <c r="E765" s="524" t="s">
        <v>2387</v>
      </c>
    </row>
    <row r="766" spans="1:5">
      <c r="A766" s="286" t="str">
        <f t="shared" si="11"/>
        <v>MIC values</v>
      </c>
      <c r="B766" s="26" t="s">
        <v>2164</v>
      </c>
      <c r="C766" s="26" t="s">
        <v>2388</v>
      </c>
      <c r="D766" s="279" t="s">
        <v>2166</v>
      </c>
      <c r="E766" s="524" t="s">
        <v>2389</v>
      </c>
    </row>
    <row r="767" spans="1:5">
      <c r="A767" s="286" t="str">
        <f t="shared" si="11"/>
        <v>MIC interpretation (S/I/R)</v>
      </c>
      <c r="B767" s="26" t="s">
        <v>2168</v>
      </c>
      <c r="C767" s="26" t="s">
        <v>2390</v>
      </c>
      <c r="D767" s="279" t="s">
        <v>2391</v>
      </c>
      <c r="E767" s="524" t="s">
        <v>2392</v>
      </c>
    </row>
    <row r="768" spans="1:5" ht="41.4">
      <c r="A768" s="286" t="str">
        <f t="shared" si="11"/>
        <v>Describe the laboratory’s system for recording culture observations</v>
      </c>
      <c r="B768" s="26" t="s">
        <v>2393</v>
      </c>
      <c r="C768" s="26" t="s">
        <v>2394</v>
      </c>
      <c r="D768" s="279" t="s">
        <v>2395</v>
      </c>
      <c r="E768" s="524" t="s">
        <v>2396</v>
      </c>
    </row>
    <row r="769" spans="1:5" ht="27.6">
      <c r="A769" s="286" t="str">
        <f t="shared" si="11"/>
        <v>1: Laboratory Information System (LIS)</v>
      </c>
      <c r="B769" s="26" t="s">
        <v>2397</v>
      </c>
      <c r="C769" s="26" t="s">
        <v>2398</v>
      </c>
      <c r="D769" s="279" t="s">
        <v>2399</v>
      </c>
      <c r="E769" s="524" t="s">
        <v>2400</v>
      </c>
    </row>
    <row r="770" spans="1:5" ht="41.4">
      <c r="A770" s="286" t="str">
        <f t="shared" si="11"/>
        <v>2: Fully electronic, but non-LIS (e.g., Word, Excel)</v>
      </c>
      <c r="B770" s="26" t="s">
        <v>2401</v>
      </c>
      <c r="C770" s="26" t="s">
        <v>2402</v>
      </c>
      <c r="D770" s="279" t="s">
        <v>2403</v>
      </c>
      <c r="E770" s="524" t="s">
        <v>2404</v>
      </c>
    </row>
    <row r="771" spans="1:5" ht="55.2">
      <c r="A771" s="286" t="str">
        <f t="shared" si="11"/>
        <v>3: Handwritten on a paper work card (e.g., the back of the specimen requisition) or in a logbook</v>
      </c>
      <c r="B771" s="26" t="s">
        <v>2405</v>
      </c>
      <c r="C771" s="26" t="s">
        <v>2406</v>
      </c>
      <c r="D771" s="279" t="s">
        <v>2407</v>
      </c>
      <c r="E771" s="524" t="s">
        <v>2408</v>
      </c>
    </row>
    <row r="772" spans="1:5" ht="27.6">
      <c r="A772" s="286" t="str">
        <f t="shared" si="11"/>
        <v>4: Combination of handwritten and electronic recording</v>
      </c>
      <c r="B772" s="26" t="s">
        <v>2409</v>
      </c>
      <c r="C772" s="26" t="s">
        <v>2410</v>
      </c>
      <c r="D772" s="279" t="s">
        <v>2411</v>
      </c>
      <c r="E772" s="524" t="s">
        <v>2412</v>
      </c>
    </row>
    <row r="773" spans="1:5" ht="27.6">
      <c r="A773" s="286" t="str">
        <f t="shared" si="11"/>
        <v>5: Internal results are not routinely recorded</v>
      </c>
      <c r="B773" s="26" t="s">
        <v>2413</v>
      </c>
      <c r="C773" s="26" t="s">
        <v>2414</v>
      </c>
      <c r="D773" s="279" t="s">
        <v>2415</v>
      </c>
      <c r="E773" s="524" t="s">
        <v>2416</v>
      </c>
    </row>
    <row r="774" spans="1:5" ht="55.2">
      <c r="A774" s="286" t="str">
        <f t="shared" si="11"/>
        <v>Are culture observations/work cards retained for a defined time period (at least one year)?</v>
      </c>
      <c r="B774" s="26" t="s">
        <v>2417</v>
      </c>
      <c r="C774" s="26" t="s">
        <v>2418</v>
      </c>
      <c r="D774" s="279" t="s">
        <v>2419</v>
      </c>
      <c r="E774" s="524" t="s">
        <v>2420</v>
      </c>
    </row>
    <row r="775" spans="1:5">
      <c r="A775" s="286" t="str">
        <f t="shared" si="11"/>
        <v>AST RESULTS REPORTING</v>
      </c>
      <c r="B775" s="26" t="s">
        <v>480</v>
      </c>
      <c r="C775" s="26" t="s">
        <v>2421</v>
      </c>
      <c r="D775" s="279" t="s">
        <v>482</v>
      </c>
      <c r="E775" s="524" t="s">
        <v>2422</v>
      </c>
    </row>
    <row r="776" spans="1:5" ht="41.4">
      <c r="A776" s="286" t="str">
        <f t="shared" si="11"/>
        <v>Describe the laboratory’s system for reporting AST results to the physician/client</v>
      </c>
      <c r="B776" s="26" t="s">
        <v>2423</v>
      </c>
      <c r="C776" s="26" t="s">
        <v>2424</v>
      </c>
      <c r="D776" s="279" t="s">
        <v>2425</v>
      </c>
      <c r="E776" s="524" t="s">
        <v>2426</v>
      </c>
    </row>
    <row r="777" spans="1:5" ht="41.4">
      <c r="A777" s="286" t="str">
        <f t="shared" si="11"/>
        <v>1: Fully electronic system – physician does not receive a paper report from the lab</v>
      </c>
      <c r="B777" s="26" t="s">
        <v>2427</v>
      </c>
      <c r="C777" s="26" t="s">
        <v>2428</v>
      </c>
      <c r="D777" s="279" t="s">
        <v>2429</v>
      </c>
      <c r="E777" s="524" t="s">
        <v>2430</v>
      </c>
    </row>
    <row r="778" spans="1:5" ht="27.6">
      <c r="A778" s="286" t="str">
        <f t="shared" si="11"/>
        <v>2: Combination of paper and electronic reporting</v>
      </c>
      <c r="B778" s="26" t="s">
        <v>2431</v>
      </c>
      <c r="C778" s="26" t="s">
        <v>2432</v>
      </c>
      <c r="D778" s="279" t="s">
        <v>2433</v>
      </c>
      <c r="E778" s="524" t="s">
        <v>2434</v>
      </c>
    </row>
    <row r="779" spans="1:5">
      <c r="A779" s="286" t="str">
        <f t="shared" si="11"/>
        <v>3: Fully paper-based system</v>
      </c>
      <c r="B779" s="26" t="s">
        <v>2435</v>
      </c>
      <c r="C779" s="26" t="s">
        <v>2436</v>
      </c>
      <c r="D779" s="279" t="s">
        <v>2437</v>
      </c>
      <c r="E779" s="524" t="s">
        <v>2438</v>
      </c>
    </row>
    <row r="780" spans="1:5" ht="55.2">
      <c r="A780" s="286" t="str">
        <f t="shared" si="11"/>
        <v>If AST results are fully or partially issued to physicians on paper, please describe that system.</v>
      </c>
      <c r="B780" s="26" t="s">
        <v>2439</v>
      </c>
      <c r="C780" s="26" t="s">
        <v>2440</v>
      </c>
      <c r="D780" s="279" t="s">
        <v>2441</v>
      </c>
      <c r="E780" s="524" t="s">
        <v>2442</v>
      </c>
    </row>
    <row r="781" spans="1:5" ht="27.6">
      <c r="A781" s="286" t="str">
        <f t="shared" si="11"/>
        <v>1: Printout from the Laboratory Information System</v>
      </c>
      <c r="B781" s="26" t="s">
        <v>2443</v>
      </c>
      <c r="C781" s="26" t="s">
        <v>2444</v>
      </c>
      <c r="D781" s="279" t="s">
        <v>2445</v>
      </c>
      <c r="E781" s="524" t="s">
        <v>2446</v>
      </c>
    </row>
    <row r="782" spans="1:5" ht="41.4">
      <c r="A782" s="286" t="str">
        <f t="shared" si="11"/>
        <v>2: Printout from the ID/AST instrument (e.g., Vitek, Phoenix, etc.)</v>
      </c>
      <c r="B782" s="26" t="s">
        <v>2447</v>
      </c>
      <c r="C782" s="26" t="s">
        <v>2448</v>
      </c>
      <c r="D782" s="279" t="s">
        <v>2449</v>
      </c>
      <c r="E782" s="524" t="s">
        <v>2450</v>
      </c>
    </row>
    <row r="783" spans="1:5" ht="41.4">
      <c r="A783" s="286" t="str">
        <f t="shared" si="11"/>
        <v>3: Printout from a non-LIS computer program (e.g., Word, Excel)</v>
      </c>
      <c r="B783" s="26" t="s">
        <v>2451</v>
      </c>
      <c r="C783" s="26" t="s">
        <v>2452</v>
      </c>
      <c r="D783" s="279" t="s">
        <v>2453</v>
      </c>
      <c r="E783" s="524" t="s">
        <v>2454</v>
      </c>
    </row>
    <row r="784" spans="1:5" ht="27.6">
      <c r="A784" s="286" t="str">
        <f t="shared" si="11"/>
        <v>4: Primarily hand-written onto a paper form</v>
      </c>
      <c r="B784" s="26" t="s">
        <v>2455</v>
      </c>
      <c r="C784" s="26" t="s">
        <v>2456</v>
      </c>
      <c r="D784" s="279" t="s">
        <v>2457</v>
      </c>
      <c r="E784" s="524" t="s">
        <v>2458</v>
      </c>
    </row>
    <row r="785" spans="1:5" ht="41.4">
      <c r="A785" s="286" t="str">
        <f t="shared" si="11"/>
        <v>Are AST reports retained for a defined time period (at least one year)?</v>
      </c>
      <c r="B785" s="26" t="s">
        <v>2459</v>
      </c>
      <c r="C785" s="26" t="s">
        <v>2460</v>
      </c>
      <c r="D785" s="279" t="s">
        <v>2461</v>
      </c>
      <c r="E785" s="524" t="s">
        <v>2462</v>
      </c>
    </row>
    <row r="786" spans="1:5" ht="27.6">
      <c r="A786" s="286" t="str">
        <f t="shared" si="11"/>
        <v>DATA BACKUP &amp; SECURITY</v>
      </c>
      <c r="B786" s="26" t="s">
        <v>484</v>
      </c>
      <c r="C786" s="26" t="s">
        <v>2463</v>
      </c>
      <c r="D786" s="164" t="s">
        <v>486</v>
      </c>
      <c r="E786" s="524" t="s">
        <v>2464</v>
      </c>
    </row>
    <row r="787" spans="1:5" ht="41.4">
      <c r="A787" s="286" t="str">
        <f t="shared" si="11"/>
        <v xml:space="preserve">What method is used to back up the lab’s electronic patient records? </v>
      </c>
      <c r="B787" s="26" t="s">
        <v>2465</v>
      </c>
      <c r="C787" s="26" t="s">
        <v>2466</v>
      </c>
      <c r="D787" s="279" t="s">
        <v>2467</v>
      </c>
      <c r="E787" s="524" t="s">
        <v>2468</v>
      </c>
    </row>
    <row r="788" spans="1:5" ht="82.8">
      <c r="A788" s="286" t="str">
        <f t="shared" si="11"/>
        <v>1: Facility or cloud server - 2: External hard drive, USB, or CD - 3: Internal hard drive (PC or laptop) - 4: None - NA: do not use an electronic database for patient records</v>
      </c>
      <c r="B788" s="26" t="s">
        <v>2469</v>
      </c>
      <c r="C788" s="26" t="s">
        <v>2470</v>
      </c>
      <c r="D788" s="279" t="s">
        <v>2471</v>
      </c>
      <c r="E788" s="524" t="s">
        <v>2472</v>
      </c>
    </row>
    <row r="789" spans="1:5" ht="41.4">
      <c r="A789" s="286" t="str">
        <f t="shared" si="11"/>
        <v>How frequently are the lab’s electronic records backed up?</v>
      </c>
      <c r="B789" s="26" t="s">
        <v>2473</v>
      </c>
      <c r="C789" s="26" t="s">
        <v>2474</v>
      </c>
      <c r="D789" s="279" t="s">
        <v>2475</v>
      </c>
      <c r="E789" s="524" t="s">
        <v>2476</v>
      </c>
    </row>
    <row r="790" spans="1:5" ht="55.2">
      <c r="A790" s="286" t="str">
        <f t="shared" si="11"/>
        <v>1: Daily/Continuously - 2: Other frequency, specify in comments - 3: Never - NA: no electronic database</v>
      </c>
      <c r="B790" s="26" t="s">
        <v>2477</v>
      </c>
      <c r="C790" s="26" t="s">
        <v>2478</v>
      </c>
      <c r="D790" s="279" t="s">
        <v>2479</v>
      </c>
      <c r="E790" s="524" t="s">
        <v>2480</v>
      </c>
    </row>
    <row r="791" spans="1:5" ht="55.2">
      <c r="A791" s="286" t="str">
        <f t="shared" si="11"/>
        <v>Does the lab or facility have a policy and/or SOP on data backup and restoration?</v>
      </c>
      <c r="B791" s="26" t="s">
        <v>2481</v>
      </c>
      <c r="C791" s="26" t="s">
        <v>2482</v>
      </c>
      <c r="D791" s="279" t="s">
        <v>2483</v>
      </c>
      <c r="E791" s="524" t="s">
        <v>2484</v>
      </c>
    </row>
    <row r="792" spans="1:5" ht="41.4">
      <c r="A792" s="286" t="str">
        <f t="shared" si="11"/>
        <v>Does the lab or facility have a policy and/or SOP on data security and confidentiality?</v>
      </c>
      <c r="B792" s="26" t="s">
        <v>2485</v>
      </c>
      <c r="C792" s="26" t="s">
        <v>2486</v>
      </c>
      <c r="D792" s="279" t="s">
        <v>2487</v>
      </c>
      <c r="E792" s="524" t="s">
        <v>2488</v>
      </c>
    </row>
    <row r="793" spans="1:5" ht="27.6">
      <c r="A793" s="286" t="str">
        <f t="shared" si="11"/>
        <v>Do laboratory computers have antivirus software?</v>
      </c>
      <c r="B793" s="26" t="s">
        <v>2489</v>
      </c>
      <c r="C793" s="26" t="s">
        <v>2490</v>
      </c>
      <c r="D793" s="279" t="s">
        <v>2491</v>
      </c>
      <c r="E793" s="524" t="s">
        <v>2492</v>
      </c>
    </row>
    <row r="794" spans="1:5" ht="41.4">
      <c r="A794" s="286" t="str">
        <f t="shared" si="11"/>
        <v>Do laboratory computers have genuine (not pirated) Operating Systems?</v>
      </c>
      <c r="B794" s="26" t="s">
        <v>2493</v>
      </c>
      <c r="C794" s="26" t="s">
        <v>2494</v>
      </c>
      <c r="D794" s="279" t="s">
        <v>2495</v>
      </c>
      <c r="E794" s="524" t="s">
        <v>2496</v>
      </c>
    </row>
    <row r="795" spans="1:5" ht="27.6">
      <c r="A795" s="286" t="str">
        <f t="shared" si="11"/>
        <v xml:space="preserve">AMR DATA SHARING </v>
      </c>
      <c r="B795" s="26" t="s">
        <v>488</v>
      </c>
      <c r="C795" s="26" t="s">
        <v>2497</v>
      </c>
      <c r="D795" s="164" t="s">
        <v>490</v>
      </c>
      <c r="E795" s="524" t="s">
        <v>491</v>
      </c>
    </row>
    <row r="796" spans="1:5" ht="41.4">
      <c r="A796" s="286" t="str">
        <f t="shared" si="11"/>
        <v>Is the laboratory currently a member of any AMR Surveillance Systems?</v>
      </c>
      <c r="B796" s="26" t="s">
        <v>2498</v>
      </c>
      <c r="C796" s="26" t="s">
        <v>2499</v>
      </c>
      <c r="D796" s="279" t="s">
        <v>2500</v>
      </c>
      <c r="E796" s="524" t="s">
        <v>2501</v>
      </c>
    </row>
    <row r="797" spans="1:5" ht="41.4">
      <c r="A797" s="286" t="str">
        <f t="shared" si="11"/>
        <v>WHO GLASS (Global Antimicrobial Resistance Surveillance System)</v>
      </c>
      <c r="B797" s="26" t="s">
        <v>2502</v>
      </c>
      <c r="C797" s="26" t="s">
        <v>2503</v>
      </c>
      <c r="D797" s="279" t="s">
        <v>2504</v>
      </c>
      <c r="E797" s="524" t="s">
        <v>2505</v>
      </c>
    </row>
    <row r="798" spans="1:5" ht="27.6">
      <c r="A798" s="286" t="str">
        <f t="shared" si="11"/>
        <v>Other, please describe in comments</v>
      </c>
      <c r="B798" s="26" t="s">
        <v>2506</v>
      </c>
      <c r="C798" s="26" t="s">
        <v>2507</v>
      </c>
      <c r="D798" s="279" t="s">
        <v>2508</v>
      </c>
      <c r="E798" s="524" t="s">
        <v>2509</v>
      </c>
    </row>
    <row r="799" spans="1:5" ht="55.2">
      <c r="A799" s="286" t="str">
        <f t="shared" si="11"/>
        <v>Which of the following methods are currently used to submit data to the AMR surveillance network(s)?</v>
      </c>
      <c r="B799" s="26" t="s">
        <v>2510</v>
      </c>
      <c r="C799" s="26" t="s">
        <v>2511</v>
      </c>
      <c r="D799" s="279" t="s">
        <v>2512</v>
      </c>
      <c r="E799" s="524" t="s">
        <v>2513</v>
      </c>
    </row>
    <row r="800" spans="1:5" ht="55.2">
      <c r="A800" s="286" t="str">
        <f t="shared" si="11"/>
        <v>More than one may be used. If the lab does not currently participate in AMR surveillance, select NA</v>
      </c>
      <c r="B800" s="26" t="s">
        <v>2514</v>
      </c>
      <c r="C800" s="26" t="s">
        <v>2515</v>
      </c>
      <c r="D800" s="279" t="s">
        <v>2516</v>
      </c>
      <c r="E800" s="524" t="s">
        <v>2517</v>
      </c>
    </row>
    <row r="801" spans="1:5" ht="27.6">
      <c r="A801" s="286" t="str">
        <f t="shared" si="11"/>
        <v>Lab sends paper forms to an AMR coordinator</v>
      </c>
      <c r="B801" s="26" t="s">
        <v>2518</v>
      </c>
      <c r="C801" s="26" t="s">
        <v>2519</v>
      </c>
      <c r="D801" s="279" t="s">
        <v>2520</v>
      </c>
      <c r="E801" s="524" t="s">
        <v>2521</v>
      </c>
    </row>
    <row r="802" spans="1:5" ht="27.6">
      <c r="A802" s="286" t="str">
        <f t="shared" ref="A802:A865" si="12">IF(langue=1,B802,IF(langue=2,C802,IF(langue=3,D802,IF(langue=4,E802,F802))))</f>
        <v>Lab types data into an Excel spreadsheet</v>
      </c>
      <c r="B802" s="26" t="s">
        <v>2522</v>
      </c>
      <c r="C802" s="26" t="s">
        <v>2523</v>
      </c>
      <c r="D802" s="279" t="s">
        <v>2524</v>
      </c>
      <c r="E802" s="524" t="s">
        <v>2525</v>
      </c>
    </row>
    <row r="803" spans="1:5" ht="27.6">
      <c r="A803" s="286" t="str">
        <f t="shared" si="12"/>
        <v>Lab types data into an online database</v>
      </c>
      <c r="B803" s="26" t="s">
        <v>2526</v>
      </c>
      <c r="C803" s="26" t="s">
        <v>2527</v>
      </c>
      <c r="D803" s="279" t="s">
        <v>2528</v>
      </c>
      <c r="E803" s="524" t="s">
        <v>2529</v>
      </c>
    </row>
    <row r="804" spans="1:5" ht="27.6">
      <c r="A804" s="286" t="str">
        <f t="shared" si="12"/>
        <v>Lab types data into WHONET</v>
      </c>
      <c r="B804" s="26" t="s">
        <v>2530</v>
      </c>
      <c r="C804" s="26" t="s">
        <v>2531</v>
      </c>
      <c r="D804" s="279" t="s">
        <v>2532</v>
      </c>
      <c r="E804" s="524" t="s">
        <v>2533</v>
      </c>
    </row>
    <row r="805" spans="1:5" ht="41.4">
      <c r="A805" s="286" t="str">
        <f t="shared" si="12"/>
        <v>Lab exports a file from the automated AST instrument</v>
      </c>
      <c r="B805" s="26" t="s">
        <v>2534</v>
      </c>
      <c r="C805" s="26" t="s">
        <v>2535</v>
      </c>
      <c r="D805" s="279" t="s">
        <v>2536</v>
      </c>
      <c r="E805" s="524" t="s">
        <v>2537</v>
      </c>
    </row>
    <row r="806" spans="1:5" ht="27.6">
      <c r="A806" s="286" t="str">
        <f t="shared" si="12"/>
        <v>Lab exports a file from the LIS</v>
      </c>
      <c r="B806" s="26" t="s">
        <v>2538</v>
      </c>
      <c r="C806" s="26" t="s">
        <v>2539</v>
      </c>
      <c r="D806" s="279" t="s">
        <v>2540</v>
      </c>
      <c r="E806" s="524" t="s">
        <v>2541</v>
      </c>
    </row>
    <row r="807" spans="1:5" ht="55.2">
      <c r="A807" s="286" t="str">
        <f t="shared" si="12"/>
        <v>If the lab has ever tried to use BacLink to transfer data from the LIS into WHONET, were any of the following problems encountered?</v>
      </c>
      <c r="B807" s="26" t="s">
        <v>2542</v>
      </c>
      <c r="C807" s="26" t="s">
        <v>2543</v>
      </c>
      <c r="D807" s="279" t="s">
        <v>2544</v>
      </c>
      <c r="E807" s="524" t="s">
        <v>2545</v>
      </c>
    </row>
    <row r="808" spans="1:5" ht="41.4">
      <c r="A808" s="286" t="str">
        <f t="shared" si="12"/>
        <v>The LIS export file was missing some of the required data fields</v>
      </c>
      <c r="B808" s="26" t="s">
        <v>2546</v>
      </c>
      <c r="C808" s="26" t="s">
        <v>2547</v>
      </c>
      <c r="D808" s="279" t="s">
        <v>2548</v>
      </c>
      <c r="E808" s="524" t="s">
        <v>2549</v>
      </c>
    </row>
    <row r="809" spans="1:5" ht="41.4">
      <c r="A809" s="286" t="str">
        <f t="shared" si="12"/>
        <v xml:space="preserve">The LIS export file merged/combined different data fields into a single column </v>
      </c>
      <c r="B809" s="26" t="s">
        <v>2550</v>
      </c>
      <c r="C809" s="26" t="s">
        <v>2551</v>
      </c>
      <c r="D809" s="279" t="s">
        <v>2552</v>
      </c>
      <c r="E809" s="524" t="s">
        <v>2553</v>
      </c>
    </row>
    <row r="810" spans="1:5" ht="41.4">
      <c r="A810" s="286" t="str">
        <f t="shared" si="12"/>
        <v>The LIS export file does not distinguish antibiotic results by AST method</v>
      </c>
      <c r="B810" s="26" t="s">
        <v>2554</v>
      </c>
      <c r="C810" s="26" t="s">
        <v>2555</v>
      </c>
      <c r="D810" s="164" t="s">
        <v>2556</v>
      </c>
      <c r="E810" s="524" t="s">
        <v>2557</v>
      </c>
    </row>
    <row r="811" spans="1:5" ht="41.4">
      <c r="A811" s="286" t="str">
        <f t="shared" si="12"/>
        <v>The LIS export file does not contain zone sizes or MIC values</v>
      </c>
      <c r="B811" s="26" t="s">
        <v>2558</v>
      </c>
      <c r="C811" s="26" t="s">
        <v>2559</v>
      </c>
      <c r="D811" s="279" t="s">
        <v>2560</v>
      </c>
      <c r="E811" s="524" t="s">
        <v>2561</v>
      </c>
    </row>
    <row r="812" spans="1:5" ht="27.6">
      <c r="A812" s="286" t="str">
        <f t="shared" si="12"/>
        <v>Other, please describe in comments</v>
      </c>
      <c r="B812" s="26" t="s">
        <v>2506</v>
      </c>
      <c r="C812" s="26" t="s">
        <v>2507</v>
      </c>
      <c r="D812" s="279" t="s">
        <v>2508</v>
      </c>
      <c r="E812" s="524" t="s">
        <v>2509</v>
      </c>
    </row>
    <row r="813" spans="1:5" ht="69">
      <c r="A813" s="286" t="str">
        <f t="shared" si="12"/>
        <v>If the lab has ever tried to use BacLink to transfer data from the automated AST instrument into WHONET, were any of the following problems encountered?</v>
      </c>
      <c r="B813" s="26" t="s">
        <v>2562</v>
      </c>
      <c r="C813" s="26" t="s">
        <v>2563</v>
      </c>
      <c r="D813" s="279" t="s">
        <v>2564</v>
      </c>
      <c r="E813" s="524" t="s">
        <v>2565</v>
      </c>
    </row>
    <row r="814" spans="1:5" ht="55.2">
      <c r="A814" s="286" t="str">
        <f t="shared" si="12"/>
        <v>The instrument export file was missing some of the required data fields (like patient demographics)</v>
      </c>
      <c r="B814" s="26" t="s">
        <v>2566</v>
      </c>
      <c r="C814" s="26" t="s">
        <v>2567</v>
      </c>
      <c r="D814" s="279" t="s">
        <v>2568</v>
      </c>
      <c r="E814" s="524" t="s">
        <v>2569</v>
      </c>
    </row>
    <row r="815" spans="1:5" ht="41.4">
      <c r="A815" s="286" t="str">
        <f t="shared" si="12"/>
        <v xml:space="preserve">The instrument export file merged/combined different data fields into a single column </v>
      </c>
      <c r="B815" s="26" t="s">
        <v>2570</v>
      </c>
      <c r="C815" s="26" t="s">
        <v>2571</v>
      </c>
      <c r="D815" s="279" t="s">
        <v>2572</v>
      </c>
      <c r="E815" s="524" t="s">
        <v>2573</v>
      </c>
    </row>
    <row r="816" spans="1:5" ht="27.6">
      <c r="A816" s="286" t="str">
        <f t="shared" si="12"/>
        <v>The instrument export file was missing MIC values</v>
      </c>
      <c r="B816" s="26" t="s">
        <v>2574</v>
      </c>
      <c r="C816" s="26" t="s">
        <v>2575</v>
      </c>
      <c r="D816" s="279" t="s">
        <v>2576</v>
      </c>
      <c r="E816" s="524" t="s">
        <v>2577</v>
      </c>
    </row>
    <row r="817" spans="1:5" ht="27.6">
      <c r="A817" s="286" t="str">
        <f t="shared" si="12"/>
        <v>The instrument export file was missing SIR values</v>
      </c>
      <c r="B817" s="26" t="s">
        <v>2578</v>
      </c>
      <c r="C817" s="26" t="s">
        <v>2579</v>
      </c>
      <c r="D817" s="279" t="s">
        <v>2580</v>
      </c>
      <c r="E817" s="524" t="s">
        <v>2581</v>
      </c>
    </row>
    <row r="818" spans="1:5" ht="27.6">
      <c r="A818" s="286" t="str">
        <f t="shared" si="12"/>
        <v>Other, please describe in comments</v>
      </c>
      <c r="B818" s="26" t="s">
        <v>2506</v>
      </c>
      <c r="C818" s="26" t="s">
        <v>2507</v>
      </c>
      <c r="D818" s="279" t="s">
        <v>2508</v>
      </c>
      <c r="E818" s="524" t="s">
        <v>2509</v>
      </c>
    </row>
    <row r="819" spans="1:5">
      <c r="A819" s="286" t="str">
        <f t="shared" si="12"/>
        <v>4- QUALITY ASSURANCE</v>
      </c>
      <c r="B819" s="26" t="s">
        <v>492</v>
      </c>
      <c r="C819" s="26" t="s">
        <v>493</v>
      </c>
      <c r="D819" s="279" t="s">
        <v>494</v>
      </c>
      <c r="E819" s="524" t="s">
        <v>2582</v>
      </c>
    </row>
    <row r="820" spans="1:5">
      <c r="A820" s="286" t="str">
        <f t="shared" si="12"/>
        <v>QUALITY STRUCTURE/BASICS</v>
      </c>
      <c r="B820" s="26" t="s">
        <v>496</v>
      </c>
      <c r="C820" s="26" t="s">
        <v>2583</v>
      </c>
      <c r="D820" s="164" t="s">
        <v>2584</v>
      </c>
      <c r="E820" s="524" t="s">
        <v>2585</v>
      </c>
    </row>
    <row r="821" spans="1:5" ht="41.4">
      <c r="A821" s="286" t="str">
        <f t="shared" si="12"/>
        <v>Is there a Quality Manual in place that conforms to ISO standards? (15189, 17025 or 9001)?</v>
      </c>
      <c r="B821" s="26" t="s">
        <v>2586</v>
      </c>
      <c r="C821" s="26" t="s">
        <v>2587</v>
      </c>
      <c r="D821" s="279" t="s">
        <v>2588</v>
      </c>
      <c r="E821" s="524" t="s">
        <v>2589</v>
      </c>
    </row>
    <row r="822" spans="1:5" ht="27.6">
      <c r="A822" s="286" t="str">
        <f t="shared" si="12"/>
        <v>Does the lab have a formally designated Quality Officer or Manager?</v>
      </c>
      <c r="B822" s="26" t="s">
        <v>2590</v>
      </c>
      <c r="C822" s="26" t="s">
        <v>2591</v>
      </c>
      <c r="D822" s="279" t="s">
        <v>2592</v>
      </c>
      <c r="E822" s="524" t="s">
        <v>2593</v>
      </c>
    </row>
    <row r="823" spans="1:5" ht="41.4">
      <c r="A823" s="286" t="str">
        <f t="shared" si="12"/>
        <v>Is there a Quality Focal Point in bacteriology, in charge of collaboration with quality manager?</v>
      </c>
      <c r="B823" s="26" t="s">
        <v>2594</v>
      </c>
      <c r="C823" s="26" t="s">
        <v>2595</v>
      </c>
      <c r="D823" s="164" t="s">
        <v>2596</v>
      </c>
      <c r="E823" s="524" t="s">
        <v>2597</v>
      </c>
    </row>
    <row r="824" spans="1:5" ht="69">
      <c r="A824" s="286" t="str">
        <f t="shared" si="12"/>
        <v>Is there documentation showing that the Quality Officers and Focal Points have received appropriate training in Quality Management Systems (QMS)?</v>
      </c>
      <c r="B824" s="26" t="s">
        <v>2598</v>
      </c>
      <c r="C824" s="26" t="s">
        <v>2599</v>
      </c>
      <c r="D824" s="279" t="s">
        <v>2600</v>
      </c>
      <c r="E824" s="524" t="s">
        <v>2601</v>
      </c>
    </row>
    <row r="825" spans="1:5" ht="41.4">
      <c r="A825" s="286" t="str">
        <f t="shared" si="12"/>
        <v>1: Yes - 2: Some, but would like additional training - 3: No training documented</v>
      </c>
      <c r="B825" s="93" t="s">
        <v>2602</v>
      </c>
      <c r="C825" s="93" t="s">
        <v>2603</v>
      </c>
      <c r="D825" s="284" t="s">
        <v>2604</v>
      </c>
      <c r="E825" s="524" t="s">
        <v>2605</v>
      </c>
    </row>
    <row r="826" spans="1:5" ht="55.2">
      <c r="A826" s="286" t="str">
        <f t="shared" si="12"/>
        <v>How often does a Supervisor or Quality Officer review Media QC, ID QC, and AST QC results?</v>
      </c>
      <c r="B826" s="26" t="s">
        <v>2606</v>
      </c>
      <c r="C826" s="26" t="s">
        <v>2607</v>
      </c>
      <c r="D826" s="279" t="s">
        <v>2608</v>
      </c>
      <c r="E826" s="524" t="s">
        <v>2609</v>
      </c>
    </row>
    <row r="827" spans="1:5" ht="27.6">
      <c r="A827" s="286" t="str">
        <f t="shared" si="12"/>
        <v>1: Weekly  – 2: Monthly  – 3: Sporadically – 4: Never</v>
      </c>
      <c r="B827" s="26" t="s">
        <v>2610</v>
      </c>
      <c r="C827" s="26" t="s">
        <v>2611</v>
      </c>
      <c r="D827" s="279" t="s">
        <v>2612</v>
      </c>
      <c r="E827" s="524" t="s">
        <v>2613</v>
      </c>
    </row>
    <row r="828" spans="1:5" ht="41.4">
      <c r="A828" s="286" t="str">
        <f t="shared" si="12"/>
        <v>Is there evidence that QC review is performed at the stated frequency?</v>
      </c>
      <c r="B828" s="26" t="s">
        <v>2614</v>
      </c>
      <c r="C828" s="26" t="s">
        <v>2615</v>
      </c>
      <c r="D828" s="279" t="s">
        <v>2616</v>
      </c>
      <c r="E828" s="524" t="s">
        <v>2617</v>
      </c>
    </row>
    <row r="829" spans="1:5" ht="41.4">
      <c r="A829" s="286" t="str">
        <f t="shared" si="12"/>
        <v>1: Yes, for all QC results - 2: Yes, but only for some QC results - 3: No</v>
      </c>
      <c r="B829" s="26" t="s">
        <v>2618</v>
      </c>
      <c r="C829" s="26" t="s">
        <v>2619</v>
      </c>
      <c r="D829" s="279" t="s">
        <v>2620</v>
      </c>
      <c r="E829" s="524" t="s">
        <v>2621</v>
      </c>
    </row>
    <row r="830" spans="1:5" ht="69">
      <c r="A830" s="286" t="str">
        <f t="shared" si="12"/>
        <v xml:space="preserve">Is there documentation showing that the Supervisor/Quality Officer received training on how to effectively troubleshoot QC failures? </v>
      </c>
      <c r="B830" s="26" t="s">
        <v>2622</v>
      </c>
      <c r="C830" s="26" t="s">
        <v>2623</v>
      </c>
      <c r="D830" s="164" t="s">
        <v>2624</v>
      </c>
      <c r="E830" s="524" t="s">
        <v>2625</v>
      </c>
    </row>
    <row r="831" spans="1:5" ht="41.4">
      <c r="A831" s="286" t="str">
        <f t="shared" si="12"/>
        <v>1: Yes - 2: Some, but would like additional training - 3: No training documented</v>
      </c>
      <c r="B831" s="26" t="s">
        <v>2602</v>
      </c>
      <c r="C831" s="26" t="s">
        <v>2603</v>
      </c>
      <c r="D831" s="279" t="s">
        <v>2604</v>
      </c>
      <c r="E831" s="524" t="s">
        <v>2626</v>
      </c>
    </row>
    <row r="832" spans="1:5" ht="41.4">
      <c r="A832" s="286" t="str">
        <f t="shared" si="12"/>
        <v>Does a Supervisor or qualified designee review positive culture results every day?</v>
      </c>
      <c r="B832" s="26" t="s">
        <v>2627</v>
      </c>
      <c r="C832" s="26" t="s">
        <v>2628</v>
      </c>
      <c r="D832" s="279" t="s">
        <v>2629</v>
      </c>
      <c r="E832" s="524" t="s">
        <v>2630</v>
      </c>
    </row>
    <row r="833" spans="1:5" ht="55.2">
      <c r="A833" s="286" t="str">
        <f t="shared" si="12"/>
        <v>Are there written guidelines stating who is permitted to modify erroneous lab results after they have been reported?</v>
      </c>
      <c r="B833" s="26" t="s">
        <v>2631</v>
      </c>
      <c r="C833" s="26" t="s">
        <v>2632</v>
      </c>
      <c r="D833" s="279" t="s">
        <v>2633</v>
      </c>
      <c r="E833" s="524" t="s">
        <v>2634</v>
      </c>
    </row>
    <row r="834" spans="1:5" ht="27.6">
      <c r="A834" s="286" t="str">
        <f t="shared" si="12"/>
        <v>Who is permitted to modify erroneous lab results?</v>
      </c>
      <c r="B834" s="26" t="s">
        <v>2635</v>
      </c>
      <c r="C834" s="26" t="s">
        <v>2636</v>
      </c>
      <c r="D834" s="279" t="s">
        <v>2637</v>
      </c>
      <c r="E834" s="524" t="s">
        <v>2638</v>
      </c>
    </row>
    <row r="835" spans="1:5" ht="41.4">
      <c r="A835" s="286" t="str">
        <f t="shared" si="12"/>
        <v>1: Supervisors and/or persons with supervisory permission - 2: All microbiologists</v>
      </c>
      <c r="B835" s="26" t="s">
        <v>2639</v>
      </c>
      <c r="C835" s="26" t="s">
        <v>2640</v>
      </c>
      <c r="D835" s="279" t="s">
        <v>2641</v>
      </c>
      <c r="E835" s="524" t="s">
        <v>2642</v>
      </c>
    </row>
    <row r="836" spans="1:5" ht="41.4">
      <c r="A836" s="286" t="str">
        <f t="shared" si="12"/>
        <v>When corrections to patient results are made, what is done with the erroneous result?</v>
      </c>
      <c r="B836" s="26" t="s">
        <v>2643</v>
      </c>
      <c r="C836" s="26" t="s">
        <v>2644</v>
      </c>
      <c r="D836" s="279" t="s">
        <v>2645</v>
      </c>
      <c r="E836" s="524" t="s">
        <v>2646</v>
      </c>
    </row>
    <row r="837" spans="1:5" ht="82.8">
      <c r="A837" s="286" t="str">
        <f t="shared" si="12"/>
        <v>1: Erroneous results remain in place but are amended to reflect that they are erroneous - 2: Erroneous results are deleted from the record - 3: Other(explain in comments)</v>
      </c>
      <c r="B837" s="26" t="s">
        <v>2647</v>
      </c>
      <c r="C837" s="26" t="s">
        <v>2648</v>
      </c>
      <c r="D837" s="279" t="s">
        <v>2649</v>
      </c>
      <c r="E837" s="524" t="s">
        <v>2650</v>
      </c>
    </row>
    <row r="838" spans="1:5" ht="41.4">
      <c r="A838" s="286" t="str">
        <f t="shared" si="12"/>
        <v>LABORATORY STAFF EDUCATION/TRAINING/COMPETENCY</v>
      </c>
      <c r="B838" s="26" t="s">
        <v>500</v>
      </c>
      <c r="C838" s="26" t="s">
        <v>501</v>
      </c>
      <c r="D838" s="279" t="s">
        <v>2651</v>
      </c>
      <c r="E838" s="524" t="s">
        <v>2652</v>
      </c>
    </row>
    <row r="839" spans="1:5" ht="69">
      <c r="A839" s="286" t="str">
        <f t="shared" si="12"/>
        <v>Does at least 50% of the technical staff possess formal education in microbiology or medical laboratory science? (Refer to the figure in column D)</v>
      </c>
      <c r="B839" s="26" t="s">
        <v>2653</v>
      </c>
      <c r="C839" s="26" t="s">
        <v>2654</v>
      </c>
      <c r="D839" s="279" t="s">
        <v>2655</v>
      </c>
      <c r="E839" s="524" t="s">
        <v>2656</v>
      </c>
    </row>
    <row r="840" spans="1:5" ht="55.2">
      <c r="A840" s="286" t="str">
        <f t="shared" si="12"/>
        <v>Is the lab sufficiently staffed to provide high quality services? (Including support staff)</v>
      </c>
      <c r="B840" s="26" t="s">
        <v>2657</v>
      </c>
      <c r="C840" s="26" t="s">
        <v>2658</v>
      </c>
      <c r="D840" s="279" t="s">
        <v>2659</v>
      </c>
      <c r="E840" s="524" t="s">
        <v>2660</v>
      </c>
    </row>
    <row r="841" spans="1:5" ht="41.4">
      <c r="A841" s="286" t="str">
        <f t="shared" si="12"/>
        <v>Does the lab have a standardized process for training new employees?</v>
      </c>
      <c r="B841" s="26" t="s">
        <v>2661</v>
      </c>
      <c r="C841" s="26" t="s">
        <v>2662</v>
      </c>
      <c r="D841" s="279" t="s">
        <v>2663</v>
      </c>
      <c r="E841" s="524" t="s">
        <v>2664</v>
      </c>
    </row>
    <row r="842" spans="1:5" ht="96.6">
      <c r="A842" s="286" t="str">
        <f t="shared" si="12"/>
        <v>Does the lab have up-to-date documentation showing which benches &amp; tests each staff member has been trained on and approved to work independently? (Review such records)</v>
      </c>
      <c r="B842" s="26" t="s">
        <v>2665</v>
      </c>
      <c r="C842" s="26" t="s">
        <v>2666</v>
      </c>
      <c r="D842" s="279" t="s">
        <v>2667</v>
      </c>
      <c r="E842" s="524" t="s">
        <v>2668</v>
      </c>
    </row>
    <row r="843" spans="1:5" ht="110.4">
      <c r="A843" s="286" t="str">
        <f t="shared" si="12"/>
        <v>Do records demonstrate that lab staff receive annual competency assessments for each of the following? (Review competency records, select NA if not on lab's test menu)</v>
      </c>
      <c r="B843" s="26" t="s">
        <v>2669</v>
      </c>
      <c r="C843" s="26" t="s">
        <v>2670</v>
      </c>
      <c r="D843" s="164" t="s">
        <v>2671</v>
      </c>
      <c r="E843" s="524" t="s">
        <v>2672</v>
      </c>
    </row>
    <row r="844" spans="1:5">
      <c r="A844" s="286" t="str">
        <f t="shared" si="12"/>
        <v>Blood culture</v>
      </c>
      <c r="B844" s="26" t="s">
        <v>2673</v>
      </c>
      <c r="C844" s="26" t="s">
        <v>2674</v>
      </c>
      <c r="D844" s="279" t="s">
        <v>2675</v>
      </c>
      <c r="E844" s="524" t="s">
        <v>162</v>
      </c>
    </row>
    <row r="845" spans="1:5">
      <c r="A845" s="286" t="str">
        <f t="shared" si="12"/>
        <v>Urine culture</v>
      </c>
      <c r="B845" s="26" t="s">
        <v>2676</v>
      </c>
      <c r="C845" s="26" t="s">
        <v>2677</v>
      </c>
      <c r="D845" s="279" t="s">
        <v>2678</v>
      </c>
      <c r="E845" s="524" t="s">
        <v>166</v>
      </c>
    </row>
    <row r="846" spans="1:5">
      <c r="A846" s="286" t="str">
        <f t="shared" si="12"/>
        <v>Stool culture</v>
      </c>
      <c r="B846" s="26" t="s">
        <v>2679</v>
      </c>
      <c r="C846" s="26" t="s">
        <v>2680</v>
      </c>
      <c r="D846" s="279" t="s">
        <v>169</v>
      </c>
      <c r="E846" s="524" t="s">
        <v>170</v>
      </c>
    </row>
    <row r="847" spans="1:5">
      <c r="A847" s="286" t="str">
        <f t="shared" si="12"/>
        <v>Respiratory culture (non-TB)</v>
      </c>
      <c r="B847" s="26" t="s">
        <v>2681</v>
      </c>
      <c r="C847" s="26" t="s">
        <v>2682</v>
      </c>
      <c r="D847" s="279" t="s">
        <v>2683</v>
      </c>
      <c r="E847" s="524" t="s">
        <v>2684</v>
      </c>
    </row>
    <row r="848" spans="1:5">
      <c r="A848" s="286" t="str">
        <f t="shared" si="12"/>
        <v>Wound culture</v>
      </c>
      <c r="B848" s="26" t="s">
        <v>2685</v>
      </c>
      <c r="C848" s="26" t="s">
        <v>2686</v>
      </c>
      <c r="D848" s="279" t="s">
        <v>2687</v>
      </c>
      <c r="E848" s="524" t="s">
        <v>2688</v>
      </c>
    </row>
    <row r="849" spans="1:5">
      <c r="A849" s="286" t="str">
        <f t="shared" si="12"/>
        <v>Cerebrospinal Fluid Cultures</v>
      </c>
      <c r="B849" s="26" t="s">
        <v>179</v>
      </c>
      <c r="C849" s="26" t="s">
        <v>1362</v>
      </c>
      <c r="D849" s="279" t="s">
        <v>181</v>
      </c>
      <c r="E849" s="524" t="s">
        <v>2689</v>
      </c>
    </row>
    <row r="850" spans="1:5">
      <c r="A850" s="286" t="str">
        <f t="shared" si="12"/>
        <v>Sterile Body Fluid Cultures</v>
      </c>
      <c r="B850" s="26" t="s">
        <v>183</v>
      </c>
      <c r="C850" s="26" t="s">
        <v>184</v>
      </c>
      <c r="D850" s="279" t="s">
        <v>185</v>
      </c>
      <c r="E850" s="524" t="s">
        <v>2690</v>
      </c>
    </row>
    <row r="851" spans="1:5">
      <c r="A851" s="286" t="str">
        <f t="shared" si="12"/>
        <v>Antibiotic Susceptibility Testing</v>
      </c>
      <c r="B851" s="26" t="s">
        <v>1565</v>
      </c>
      <c r="C851" s="26" t="s">
        <v>1566</v>
      </c>
      <c r="D851" s="279" t="s">
        <v>1567</v>
      </c>
      <c r="E851" s="524" t="s">
        <v>2691</v>
      </c>
    </row>
    <row r="852" spans="1:5" ht="386.4">
      <c r="A852" s="286" t="str">
        <f t="shared" si="12"/>
        <v>Standard: Newly hired lab staff should be assessed for competency before performing independent duties and again within six months. All lab staff should be regularly assessed for testing competency at least once a year. Staff assigned to a new section should be assessed before fully assuming independent duties. When deficiencies are noted, retraining and reassessment should be planned and documented. If the employee’s competency remains below standard, further action might include supervisory review of work, re-assignment of duties, or other appropriate actions. Records of competency assessments and resulting actions should be retained in personnel files and/or quality records. Records should show which skills were assessed, how those skills were measured, and who performed the assessment.</v>
      </c>
      <c r="B852" s="26" t="s">
        <v>2692</v>
      </c>
      <c r="C852" s="352" t="s">
        <v>2693</v>
      </c>
      <c r="D852" s="279" t="s">
        <v>2694</v>
      </c>
      <c r="E852" s="524" t="s">
        <v>2695</v>
      </c>
    </row>
    <row r="853" spans="1:5" ht="27.6">
      <c r="A853" s="286" t="str">
        <f t="shared" si="12"/>
        <v>TOUBLESHOOTING, PROBLEM SOLVING, AND ROOT CAUSE ANALYSES</v>
      </c>
      <c r="B853" s="26" t="s">
        <v>504</v>
      </c>
      <c r="C853" s="26" t="s">
        <v>2696</v>
      </c>
      <c r="D853" s="164" t="s">
        <v>506</v>
      </c>
      <c r="E853" s="524" t="s">
        <v>2697</v>
      </c>
    </row>
    <row r="854" spans="1:5" ht="55.2">
      <c r="A854" s="286" t="str">
        <f t="shared" si="12"/>
        <v>Is a root cause analysis performed when unacceptable QC results are obtained? (Request to see a recent example)</v>
      </c>
      <c r="B854" s="26" t="s">
        <v>2698</v>
      </c>
      <c r="C854" s="26" t="s">
        <v>2699</v>
      </c>
      <c r="D854" s="279" t="s">
        <v>2700</v>
      </c>
      <c r="E854" s="524" t="s">
        <v>2701</v>
      </c>
    </row>
    <row r="855" spans="1:5" ht="41.4">
      <c r="A855" s="286" t="str">
        <f t="shared" si="12"/>
        <v>Is corrective action based on the findings of the root cause analysis documented?</v>
      </c>
      <c r="B855" s="26" t="s">
        <v>2702</v>
      </c>
      <c r="C855" s="26" t="s">
        <v>2703</v>
      </c>
      <c r="D855" s="279" t="s">
        <v>2704</v>
      </c>
      <c r="E855" s="524" t="s">
        <v>2705</v>
      </c>
    </row>
    <row r="856" spans="1:5" ht="69">
      <c r="A856" s="286" t="str">
        <f t="shared" si="12"/>
        <v>Is there evidence the supervisor or Quality Officer has received adequate training on how to perform root-cause analysis of QC failures?</v>
      </c>
      <c r="B856" s="26" t="s">
        <v>2706</v>
      </c>
      <c r="C856" s="26" t="s">
        <v>2707</v>
      </c>
      <c r="D856" s="279" t="s">
        <v>2708</v>
      </c>
      <c r="E856" s="524" t="s">
        <v>2709</v>
      </c>
    </row>
    <row r="857" spans="1:5" ht="27.6">
      <c r="A857" s="286" t="str">
        <f t="shared" si="12"/>
        <v>1: Yes - 2: Some, but would like additional training - 3: No</v>
      </c>
      <c r="B857" s="26" t="s">
        <v>2710</v>
      </c>
      <c r="C857" s="26" t="s">
        <v>2711</v>
      </c>
      <c r="D857" s="279" t="s">
        <v>2712</v>
      </c>
      <c r="E857" s="524" t="s">
        <v>2713</v>
      </c>
    </row>
    <row r="858" spans="1:5" ht="55.2">
      <c r="A858" s="286" t="str">
        <f t="shared" si="12"/>
        <v>Are patient results reported if QC of media, ID method, or AST method was not performed?</v>
      </c>
      <c r="B858" s="26" t="s">
        <v>2714</v>
      </c>
      <c r="C858" s="26" t="s">
        <v>2715</v>
      </c>
      <c r="D858" s="279" t="s">
        <v>2716</v>
      </c>
      <c r="E858" s="524" t="s">
        <v>2717</v>
      </c>
    </row>
    <row r="859" spans="1:5" ht="69">
      <c r="A859" s="286" t="str">
        <f t="shared" si="12"/>
        <v>Are patient results reported if QC of media, ID method, or AST method failed to produce acceptable results?</v>
      </c>
      <c r="B859" s="26" t="s">
        <v>2718</v>
      </c>
      <c r="C859" s="26" t="s">
        <v>2719</v>
      </c>
      <c r="D859" s="279" t="s">
        <v>2720</v>
      </c>
      <c r="E859" s="524" t="s">
        <v>2721</v>
      </c>
    </row>
    <row r="860" spans="1:5" ht="69">
      <c r="A860" s="286" t="str">
        <f t="shared" si="12"/>
        <v>Is there evidence that the lab troubleshoots unacceptable QC results for media, reagents, ID systems and AST methods?</v>
      </c>
      <c r="B860" s="26" t="s">
        <v>2722</v>
      </c>
      <c r="C860" s="26" t="s">
        <v>2723</v>
      </c>
      <c r="D860" s="279" t="s">
        <v>2724</v>
      </c>
      <c r="E860" s="524" t="s">
        <v>2725</v>
      </c>
    </row>
    <row r="861" spans="1:5" ht="82.8">
      <c r="A861" s="286" t="str">
        <f t="shared" si="12"/>
        <v xml:space="preserve">If automated instruments are used for ID, (e.g., Vitek, Phoenix, Microscan) is there user manual or SOP that describes how to troubleshoot instrument failures? </v>
      </c>
      <c r="B861" s="26" t="s">
        <v>2726</v>
      </c>
      <c r="C861" s="26" t="s">
        <v>2727</v>
      </c>
      <c r="D861" s="279" t="s">
        <v>2728</v>
      </c>
      <c r="E861" s="524" t="s">
        <v>2729</v>
      </c>
    </row>
    <row r="862" spans="1:5" ht="27.6">
      <c r="A862" s="286" t="str">
        <f t="shared" si="12"/>
        <v>Check NA if lab does not use automated instrument</v>
      </c>
      <c r="B862" s="26" t="s">
        <v>2730</v>
      </c>
      <c r="C862" s="26" t="s">
        <v>2731</v>
      </c>
      <c r="D862" s="279" t="s">
        <v>2732</v>
      </c>
      <c r="E862" s="524" t="s">
        <v>2733</v>
      </c>
    </row>
    <row r="863" spans="1:5" ht="27.6">
      <c r="A863" s="286" t="str">
        <f t="shared" si="12"/>
        <v>EXTERNAL QUALITY ASSESSMENT (EQA)</v>
      </c>
      <c r="B863" s="26" t="s">
        <v>508</v>
      </c>
      <c r="C863" s="26" t="s">
        <v>509</v>
      </c>
      <c r="D863" s="279" t="s">
        <v>2734</v>
      </c>
      <c r="E863" s="524" t="s">
        <v>511</v>
      </c>
    </row>
    <row r="864" spans="1:5" ht="96.6">
      <c r="A864" s="286" t="str">
        <f t="shared" si="12"/>
        <v xml:space="preserve">How many times per year does the lab currently receive EQA/PT challenges that include both bacterial identification &amp; AST? (Please do not include challenges designed to focus on a single organism, e.g., TB or N. gonorrhoeae) </v>
      </c>
      <c r="B864" s="26" t="s">
        <v>2735</v>
      </c>
      <c r="C864" s="26" t="s">
        <v>2736</v>
      </c>
      <c r="D864" s="279" t="s">
        <v>2737</v>
      </c>
      <c r="E864" s="524" t="s">
        <v>2738</v>
      </c>
    </row>
    <row r="865" spans="1:5" ht="69">
      <c r="A865" s="286" t="str">
        <f t="shared" si="12"/>
        <v>1: One time per year; 2: Two times per year; 3: Three times per year or more; 4: Zero (if zero, please answer the next question, then skip to next section)</v>
      </c>
      <c r="B865" s="71" t="s">
        <v>2739</v>
      </c>
      <c r="C865" s="8" t="s">
        <v>2740</v>
      </c>
      <c r="D865" s="71" t="s">
        <v>2741</v>
      </c>
      <c r="E865" s="524" t="s">
        <v>2742</v>
      </c>
    </row>
    <row r="866" spans="1:5" ht="41.4">
      <c r="A866" s="286" t="str">
        <f t="shared" ref="A866:A929" si="13">IF(langue=1,B866,IF(langue=2,C866,IF(langue=3,D866,IF(langue=4,E866,F866))))</f>
        <v>If the lab does not participate in an EQA program, what is the reason? (Informational, not scored)</v>
      </c>
      <c r="B866" s="26" t="s">
        <v>2743</v>
      </c>
      <c r="C866" s="26" t="s">
        <v>2744</v>
      </c>
      <c r="D866" s="279" t="s">
        <v>2745</v>
      </c>
      <c r="E866" s="524" t="s">
        <v>2746</v>
      </c>
    </row>
    <row r="867" spans="1:5" ht="27.6">
      <c r="A867" s="286" t="str">
        <f t="shared" si="13"/>
        <v>Is the EQA/PT provider ISO-17043 accredited?</v>
      </c>
      <c r="B867" s="26" t="s">
        <v>2747</v>
      </c>
      <c r="C867" s="26" t="s">
        <v>2748</v>
      </c>
      <c r="D867" s="279" t="s">
        <v>2749</v>
      </c>
      <c r="E867" s="524" t="s">
        <v>2750</v>
      </c>
    </row>
    <row r="868" spans="1:5" ht="27.6">
      <c r="A868" s="286" t="str">
        <f t="shared" si="13"/>
        <v>Please list provider in comments</v>
      </c>
      <c r="B868" s="8" t="s">
        <v>2751</v>
      </c>
      <c r="C868" s="8" t="s">
        <v>2752</v>
      </c>
      <c r="D868" s="281" t="s">
        <v>2753</v>
      </c>
      <c r="E868" s="524" t="s">
        <v>2754</v>
      </c>
    </row>
    <row r="869" spans="1:5" ht="55.2">
      <c r="A869" s="286" t="str">
        <f t="shared" si="13"/>
        <v>Are the test methods used on EQA isolates the same as the test methods used for routine patient isolates?</v>
      </c>
      <c r="B869" s="26" t="s">
        <v>2755</v>
      </c>
      <c r="C869" s="26" t="s">
        <v>2756</v>
      </c>
      <c r="D869" s="164" t="s">
        <v>2757</v>
      </c>
      <c r="E869" s="524" t="s">
        <v>2758</v>
      </c>
    </row>
    <row r="870" spans="1:5" ht="55.2">
      <c r="A870" s="286" t="str">
        <f t="shared" si="13"/>
        <v>Does the lab ever perform additional testing on an EQA isolate compared to what would be performed on a typical patient isolate?</v>
      </c>
      <c r="B870" s="26" t="s">
        <v>2759</v>
      </c>
      <c r="C870" s="26" t="s">
        <v>2760</v>
      </c>
      <c r="D870" s="279" t="s">
        <v>2761</v>
      </c>
      <c r="E870" s="524" t="s">
        <v>2762</v>
      </c>
    </row>
    <row r="871" spans="1:5" ht="55.2">
      <c r="A871" s="286" t="str">
        <f t="shared" si="13"/>
        <v>Does the lab ever send EQA isolates to another lab for confirmation before submitting results?</v>
      </c>
      <c r="B871" s="26" t="s">
        <v>2763</v>
      </c>
      <c r="C871" s="26" t="s">
        <v>2764</v>
      </c>
      <c r="D871" s="279" t="s">
        <v>2765</v>
      </c>
      <c r="E871" s="524" t="s">
        <v>2766</v>
      </c>
    </row>
    <row r="872" spans="1:5" ht="55.2">
      <c r="A872" s="286" t="str">
        <f t="shared" si="13"/>
        <v>Does the lab ever call another lab to ask what their EQA result was before submitting results?</v>
      </c>
      <c r="B872" s="26" t="s">
        <v>2767</v>
      </c>
      <c r="C872" s="26" t="s">
        <v>2768</v>
      </c>
      <c r="D872" s="279" t="s">
        <v>2769</v>
      </c>
      <c r="E872" s="524" t="s">
        <v>2770</v>
      </c>
    </row>
    <row r="873" spans="1:5" ht="82.8">
      <c r="A873" s="286" t="str">
        <f t="shared" si="13"/>
        <v>Are PT/EQA specimens tested by the same staff performing patient testing? (Look for evidence that all staff participate in the challenges, not only supervisors or senior staff)</v>
      </c>
      <c r="B873" s="26" t="s">
        <v>2771</v>
      </c>
      <c r="C873" s="26" t="s">
        <v>2772</v>
      </c>
      <c r="D873" s="279" t="s">
        <v>2773</v>
      </c>
      <c r="E873" s="524" t="s">
        <v>2774</v>
      </c>
    </row>
    <row r="874" spans="1:5" ht="55.2">
      <c r="A874" s="286" t="str">
        <f t="shared" si="13"/>
        <v xml:space="preserve">On average, how long does the lab have to wait before receiving the results of their PT/EQA performance? </v>
      </c>
      <c r="B874" s="26" t="s">
        <v>2775</v>
      </c>
      <c r="C874" s="26" t="s">
        <v>2776</v>
      </c>
      <c r="D874" s="164" t="s">
        <v>2777</v>
      </c>
      <c r="E874" s="524" t="s">
        <v>2778</v>
      </c>
    </row>
    <row r="875" spans="1:5" ht="27.6">
      <c r="A875" s="286" t="str">
        <f t="shared" si="13"/>
        <v>1: Less than 2 months; 2: 2 – 6 months; 3: More than 6 months; NA: no EQA</v>
      </c>
      <c r="B875" s="26" t="s">
        <v>2779</v>
      </c>
      <c r="C875" s="26" t="s">
        <v>2780</v>
      </c>
      <c r="D875" s="279" t="s">
        <v>2781</v>
      </c>
      <c r="E875" s="524" t="s">
        <v>2782</v>
      </c>
    </row>
    <row r="876" spans="1:5" ht="55.2">
      <c r="A876" s="286" t="str">
        <f t="shared" si="13"/>
        <v xml:space="preserve">Review the 3 most recent EQA challenges for organism identification. On how many did the lab score &gt;80%? </v>
      </c>
      <c r="B876" s="26" t="s">
        <v>2783</v>
      </c>
      <c r="C876" s="26" t="s">
        <v>2784</v>
      </c>
      <c r="D876" s="279" t="s">
        <v>2785</v>
      </c>
      <c r="E876" s="524" t="s">
        <v>2786</v>
      </c>
    </row>
    <row r="877" spans="1:5" ht="27.6">
      <c r="A877" s="286" t="str">
        <f t="shared" si="13"/>
        <v>If scores are not made available to review, select "None"</v>
      </c>
      <c r="B877" s="26" t="s">
        <v>2787</v>
      </c>
      <c r="C877" s="26" t="s">
        <v>2788</v>
      </c>
      <c r="D877" s="279" t="s">
        <v>2789</v>
      </c>
      <c r="E877" s="524" t="s">
        <v>2790</v>
      </c>
    </row>
    <row r="878" spans="1:5" ht="41.4">
      <c r="A878" s="286" t="str">
        <f t="shared" si="13"/>
        <v xml:space="preserve">Review the 3 most recent EQA challenges for AST. On how many did the lab score &gt;80%? </v>
      </c>
      <c r="B878" s="26" t="s">
        <v>2791</v>
      </c>
      <c r="C878" s="26" t="s">
        <v>2792</v>
      </c>
      <c r="D878" s="279" t="s">
        <v>2793</v>
      </c>
      <c r="E878" s="524" t="s">
        <v>2794</v>
      </c>
    </row>
    <row r="879" spans="1:5" ht="27.6">
      <c r="A879" s="286" t="str">
        <f t="shared" si="13"/>
        <v>If scores are not made available to review, select "None"</v>
      </c>
      <c r="B879" s="26" t="s">
        <v>2787</v>
      </c>
      <c r="C879" s="26" t="s">
        <v>2788</v>
      </c>
      <c r="D879" s="279" t="s">
        <v>2789</v>
      </c>
      <c r="E879" s="524" t="s">
        <v>2790</v>
      </c>
    </row>
    <row r="880" spans="1:5" ht="55.2">
      <c r="A880" s="286" t="str">
        <f t="shared" si="13"/>
        <v>Is a root cause analysis performed when unacceptable PT/EQA results are obtained? (Request to see a recent example)</v>
      </c>
      <c r="B880" s="26" t="s">
        <v>2795</v>
      </c>
      <c r="C880" s="26" t="s">
        <v>2796</v>
      </c>
      <c r="D880" s="279" t="s">
        <v>2797</v>
      </c>
      <c r="E880" s="524" t="s">
        <v>2798</v>
      </c>
    </row>
    <row r="881" spans="1:5" ht="41.4">
      <c r="A881" s="286" t="str">
        <f t="shared" si="13"/>
        <v>Is corrective action based on the findings of the root cause analysis documented?</v>
      </c>
      <c r="B881" s="26" t="s">
        <v>2702</v>
      </c>
      <c r="C881" s="26" t="s">
        <v>2799</v>
      </c>
      <c r="D881" s="279" t="s">
        <v>2704</v>
      </c>
      <c r="E881" s="524" t="s">
        <v>2705</v>
      </c>
    </row>
    <row r="882" spans="1:5" ht="69">
      <c r="A882" s="286" t="str">
        <f t="shared" si="13"/>
        <v>Is there evidence the supervisor or Quality Officer has received adequate training on how to perform root-cause analysis for EQA failures?</v>
      </c>
      <c r="B882" s="26" t="s">
        <v>2800</v>
      </c>
      <c r="C882" s="26" t="s">
        <v>2801</v>
      </c>
      <c r="D882" s="279" t="s">
        <v>2802</v>
      </c>
      <c r="E882" s="524" t="s">
        <v>2803</v>
      </c>
    </row>
    <row r="883" spans="1:5" ht="27.6">
      <c r="A883" s="286" t="str">
        <f t="shared" si="13"/>
        <v>1: Yes - 2: Some, but would like additional training - 3: No</v>
      </c>
      <c r="B883" s="26" t="s">
        <v>2710</v>
      </c>
      <c r="C883" s="26" t="s">
        <v>2711</v>
      </c>
      <c r="D883" s="279" t="s">
        <v>2712</v>
      </c>
      <c r="E883" s="524" t="s">
        <v>2804</v>
      </c>
    </row>
    <row r="884" spans="1:5" ht="41.4">
      <c r="A884" s="286" t="str">
        <f t="shared" si="13"/>
        <v xml:space="preserve">Is laboratory leadership notified of all unacceptable EQA results as soon as they are received? </v>
      </c>
      <c r="B884" s="26" t="s">
        <v>2805</v>
      </c>
      <c r="C884" s="26" t="s">
        <v>2806</v>
      </c>
      <c r="D884" s="164" t="s">
        <v>2807</v>
      </c>
      <c r="E884" s="524" t="s">
        <v>2808</v>
      </c>
    </row>
    <row r="885" spans="1:5" ht="27.6">
      <c r="A885" s="286" t="str">
        <f t="shared" si="13"/>
        <v>5- MEDIA PREPARATION AND QUALITY CONTROL</v>
      </c>
      <c r="B885" s="26" t="s">
        <v>2809</v>
      </c>
      <c r="C885" s="26" t="s">
        <v>2810</v>
      </c>
      <c r="D885" s="279" t="s">
        <v>2811</v>
      </c>
      <c r="E885" s="524" t="s">
        <v>2812</v>
      </c>
    </row>
    <row r="886" spans="1:5">
      <c r="A886" s="286" t="str">
        <f t="shared" si="13"/>
        <v>MEDIA PREPARATION SOPs</v>
      </c>
      <c r="B886" s="26" t="s">
        <v>516</v>
      </c>
      <c r="C886" s="26" t="s">
        <v>517</v>
      </c>
      <c r="D886" s="164" t="s">
        <v>518</v>
      </c>
      <c r="E886" s="524" t="s">
        <v>2813</v>
      </c>
    </row>
    <row r="887" spans="1:5" ht="41.4">
      <c r="A887" s="286" t="str">
        <f t="shared" si="13"/>
        <v xml:space="preserve">Are  media-specific SOPs in place for each type of media reconstituted in house? </v>
      </c>
      <c r="B887" s="26" t="s">
        <v>2814</v>
      </c>
      <c r="C887" s="26" t="s">
        <v>2815</v>
      </c>
      <c r="D887" s="279" t="s">
        <v>2816</v>
      </c>
      <c r="E887" s="524" t="s">
        <v>2817</v>
      </c>
    </row>
    <row r="888" spans="1:5" ht="41.4">
      <c r="A888" s="286" t="str">
        <f t="shared" si="13"/>
        <v>Do all media preparation records including the following?</v>
      </c>
      <c r="B888" s="26" t="s">
        <v>2818</v>
      </c>
      <c r="C888" s="26" t="s">
        <v>2819</v>
      </c>
      <c r="D888" s="279" t="s">
        <v>2820</v>
      </c>
      <c r="E888" s="524" t="s">
        <v>2821</v>
      </c>
    </row>
    <row r="889" spans="1:5">
      <c r="A889" s="286" t="str">
        <f t="shared" si="13"/>
        <v>Name of media</v>
      </c>
      <c r="B889" s="26" t="s">
        <v>2822</v>
      </c>
      <c r="C889" s="26" t="s">
        <v>2823</v>
      </c>
      <c r="D889" s="279" t="s">
        <v>2824</v>
      </c>
      <c r="E889" s="524" t="s">
        <v>2825</v>
      </c>
    </row>
    <row r="890" spans="1:5">
      <c r="A890" s="286" t="str">
        <f t="shared" si="13"/>
        <v>Date of preparation</v>
      </c>
      <c r="B890" s="26" t="s">
        <v>2826</v>
      </c>
      <c r="C890" s="26" t="s">
        <v>2827</v>
      </c>
      <c r="D890" s="279" t="s">
        <v>2828</v>
      </c>
      <c r="E890" s="524" t="s">
        <v>2829</v>
      </c>
    </row>
    <row r="891" spans="1:5">
      <c r="A891" s="286" t="str">
        <f t="shared" si="13"/>
        <v>Batch number</v>
      </c>
      <c r="B891" s="26" t="s">
        <v>2830</v>
      </c>
      <c r="C891" s="26" t="s">
        <v>2831</v>
      </c>
      <c r="D891" s="279" t="s">
        <v>2832</v>
      </c>
      <c r="E891" s="524" t="s">
        <v>2833</v>
      </c>
    </row>
    <row r="892" spans="1:5">
      <c r="A892" s="286" t="str">
        <f t="shared" si="13"/>
        <v>Quantity made</v>
      </c>
      <c r="B892" s="26" t="s">
        <v>2834</v>
      </c>
      <c r="C892" s="26" t="s">
        <v>2835</v>
      </c>
      <c r="D892" s="279" t="s">
        <v>2836</v>
      </c>
      <c r="E892" s="524" t="s">
        <v>2837</v>
      </c>
    </row>
    <row r="893" spans="1:5">
      <c r="A893" s="286" t="str">
        <f t="shared" si="13"/>
        <v>pH</v>
      </c>
      <c r="B893" s="26" t="s">
        <v>2838</v>
      </c>
      <c r="C893" s="26" t="s">
        <v>2838</v>
      </c>
      <c r="D893" s="279" t="s">
        <v>2838</v>
      </c>
      <c r="E893" s="524" t="s">
        <v>2838</v>
      </c>
    </row>
    <row r="894" spans="1:5">
      <c r="A894" s="286" t="str">
        <f t="shared" si="13"/>
        <v>Name of preparer</v>
      </c>
      <c r="B894" s="26" t="s">
        <v>2839</v>
      </c>
      <c r="C894" s="26" t="s">
        <v>2840</v>
      </c>
      <c r="D894" s="279" t="s">
        <v>2841</v>
      </c>
      <c r="E894" s="524" t="s">
        <v>2842</v>
      </c>
    </row>
    <row r="895" spans="1:5">
      <c r="A895" s="286" t="str">
        <f t="shared" si="13"/>
        <v>Expiration Date</v>
      </c>
      <c r="B895" s="93" t="s">
        <v>2843</v>
      </c>
      <c r="C895" s="93" t="s">
        <v>2844</v>
      </c>
      <c r="D895" s="284" t="s">
        <v>2845</v>
      </c>
      <c r="E895" s="524" t="s">
        <v>2846</v>
      </c>
    </row>
    <row r="896" spans="1:5" ht="55.2">
      <c r="A896" s="286" t="str">
        <f t="shared" si="13"/>
        <v>Observe the media reconstituted in house, is each batch clearly labeled with the following?</v>
      </c>
      <c r="B896" s="26" t="s">
        <v>2847</v>
      </c>
      <c r="C896" s="26" t="s">
        <v>2848</v>
      </c>
      <c r="D896" s="279" t="s">
        <v>2849</v>
      </c>
      <c r="E896" s="524" t="s">
        <v>2850</v>
      </c>
    </row>
    <row r="897" spans="1:5">
      <c r="A897" s="286" t="str">
        <f t="shared" si="13"/>
        <v>Name of media</v>
      </c>
      <c r="B897" s="26" t="s">
        <v>2822</v>
      </c>
      <c r="C897" s="26" t="s">
        <v>2823</v>
      </c>
      <c r="D897" s="279" t="s">
        <v>2824</v>
      </c>
      <c r="E897" s="524" t="s">
        <v>2825</v>
      </c>
    </row>
    <row r="898" spans="1:5">
      <c r="A898" s="286" t="str">
        <f t="shared" si="13"/>
        <v>Date of preparation</v>
      </c>
      <c r="B898" s="26" t="s">
        <v>2826</v>
      </c>
      <c r="C898" s="26" t="s">
        <v>2827</v>
      </c>
      <c r="D898" s="279" t="s">
        <v>2828</v>
      </c>
      <c r="E898" s="524" t="s">
        <v>2851</v>
      </c>
    </row>
    <row r="899" spans="1:5">
      <c r="A899" s="286" t="str">
        <f t="shared" si="13"/>
        <v>Expiration date</v>
      </c>
      <c r="B899" s="26" t="s">
        <v>2852</v>
      </c>
      <c r="C899" s="26" t="s">
        <v>2844</v>
      </c>
      <c r="D899" s="279" t="s">
        <v>2845</v>
      </c>
      <c r="E899" s="524" t="s">
        <v>2846</v>
      </c>
    </row>
    <row r="900" spans="1:5">
      <c r="A900" s="286" t="str">
        <f t="shared" si="13"/>
        <v>Date opened</v>
      </c>
      <c r="B900" s="26" t="s">
        <v>2853</v>
      </c>
      <c r="C900" s="26" t="s">
        <v>2854</v>
      </c>
      <c r="D900" s="279" t="s">
        <v>2855</v>
      </c>
      <c r="E900" s="524" t="s">
        <v>2856</v>
      </c>
    </row>
    <row r="901" spans="1:5">
      <c r="A901" s="286" t="str">
        <f t="shared" si="13"/>
        <v xml:space="preserve">GENERAL MEDIA PREPARATION </v>
      </c>
      <c r="B901" s="26" t="s">
        <v>520</v>
      </c>
      <c r="C901" s="26" t="s">
        <v>2857</v>
      </c>
      <c r="D901" s="279" t="s">
        <v>522</v>
      </c>
      <c r="E901" s="524" t="s">
        <v>2858</v>
      </c>
    </row>
    <row r="902" spans="1:5" ht="55.2">
      <c r="A902" s="286" t="str">
        <f t="shared" si="13"/>
        <v>Is media prepared in a separate room, apart from the room where specimens and cultures are processed?</v>
      </c>
      <c r="B902" s="26" t="s">
        <v>2859</v>
      </c>
      <c r="C902" s="26" t="s">
        <v>2860</v>
      </c>
      <c r="D902" s="279" t="s">
        <v>2861</v>
      </c>
      <c r="E902" s="524" t="s">
        <v>2862</v>
      </c>
    </row>
    <row r="903" spans="1:5" ht="27.6">
      <c r="A903" s="286" t="str">
        <f t="shared" si="13"/>
        <v>Is media prepared in a clean room?</v>
      </c>
      <c r="B903" s="26" t="s">
        <v>2863</v>
      </c>
      <c r="C903" s="26" t="s">
        <v>2864</v>
      </c>
      <c r="D903" s="279" t="s">
        <v>2865</v>
      </c>
      <c r="E903" s="524" t="s">
        <v>2866</v>
      </c>
    </row>
    <row r="904" spans="1:5" ht="41.4">
      <c r="A904" s="286" t="str">
        <f t="shared" si="13"/>
        <v>Is deionized water (DI) or distilled water used to prepare all media?</v>
      </c>
      <c r="B904" s="26" t="s">
        <v>2867</v>
      </c>
      <c r="C904" s="26" t="s">
        <v>2868</v>
      </c>
      <c r="D904" s="279" t="s">
        <v>2869</v>
      </c>
      <c r="E904" s="524" t="s">
        <v>2870</v>
      </c>
    </row>
    <row r="905" spans="1:5" ht="41.4">
      <c r="A905" s="286" t="str">
        <f t="shared" si="13"/>
        <v>Are the media suspensions mixed with a magnetic stir bar while boiling?</v>
      </c>
      <c r="B905" s="26" t="s">
        <v>2871</v>
      </c>
      <c r="C905" s="26" t="s">
        <v>2872</v>
      </c>
      <c r="D905" s="279" t="s">
        <v>2873</v>
      </c>
      <c r="E905" s="524" t="s">
        <v>2874</v>
      </c>
    </row>
    <row r="906" spans="1:5" ht="41.4">
      <c r="A906" s="286" t="str">
        <f t="shared" si="13"/>
        <v>Is the dissolved suspension autoclaved in a clean autoclave at 15 psi, 121°C, for &gt;15 minutes?</v>
      </c>
      <c r="B906" s="26" t="s">
        <v>2875</v>
      </c>
      <c r="C906" s="26" t="s">
        <v>2876</v>
      </c>
      <c r="D906" s="279" t="s">
        <v>2877</v>
      </c>
      <c r="E906" s="524" t="s">
        <v>2878</v>
      </c>
    </row>
    <row r="907" spans="1:5" ht="55.2">
      <c r="A907" s="286" t="str">
        <f t="shared" si="13"/>
        <v>Is the autoclaved suspension cooled to 45-50°C before adding additional compounds (e.g., blood)?</v>
      </c>
      <c r="B907" s="26" t="s">
        <v>2879</v>
      </c>
      <c r="C907" s="26" t="s">
        <v>2880</v>
      </c>
      <c r="D907" s="279" t="s">
        <v>2881</v>
      </c>
      <c r="E907" s="524" t="s">
        <v>2882</v>
      </c>
    </row>
    <row r="908" spans="1:5" ht="41.4">
      <c r="A908" s="286" t="str">
        <f t="shared" si="13"/>
        <v>What is the source of the blood used to make the blood agar, chocolate, and/or MHB plates?</v>
      </c>
      <c r="B908" s="26" t="s">
        <v>2883</v>
      </c>
      <c r="C908" s="26" t="s">
        <v>2884</v>
      </c>
      <c r="D908" s="279" t="s">
        <v>2885</v>
      </c>
      <c r="E908" s="524" t="s">
        <v>2886</v>
      </c>
    </row>
    <row r="909" spans="1:5" ht="55.2">
      <c r="A909" s="286" t="str">
        <f t="shared" si="13"/>
        <v xml:space="preserve">1: Sheep’s blood - 2: Human blood (e.g., from expired packed cells) - 3: Other source (please describe in comments) </v>
      </c>
      <c r="B909" s="26" t="s">
        <v>2887</v>
      </c>
      <c r="C909" s="26" t="s">
        <v>2888</v>
      </c>
      <c r="D909" s="164" t="s">
        <v>2889</v>
      </c>
      <c r="E909" s="524" t="s">
        <v>2890</v>
      </c>
    </row>
    <row r="910" spans="1:5" ht="27.6">
      <c r="A910" s="286" t="str">
        <f t="shared" si="13"/>
        <v xml:space="preserve">Is the pH recorded for all media prepared in house? </v>
      </c>
      <c r="B910" s="26" t="s">
        <v>2891</v>
      </c>
      <c r="C910" s="26" t="s">
        <v>2892</v>
      </c>
      <c r="D910" s="279" t="s">
        <v>2893</v>
      </c>
      <c r="E910" s="524" t="s">
        <v>2894</v>
      </c>
    </row>
    <row r="911" spans="1:5" ht="41.4">
      <c r="A911" s="286" t="str">
        <f t="shared" si="13"/>
        <v>Is all prepared media stored at 2-8°C until use?</v>
      </c>
      <c r="B911" s="26" t="s">
        <v>2895</v>
      </c>
      <c r="C911" s="26" t="s">
        <v>2896</v>
      </c>
      <c r="D911" s="279" t="s">
        <v>2897</v>
      </c>
      <c r="E911" s="524" t="s">
        <v>2898</v>
      </c>
    </row>
    <row r="912" spans="1:5" ht="41.4">
      <c r="A912" s="286" t="str">
        <f t="shared" si="13"/>
        <v>Are plates stored inside bags/sleeves to avoid dehydration?</v>
      </c>
      <c r="B912" s="26" t="s">
        <v>2899</v>
      </c>
      <c r="C912" s="26" t="s">
        <v>2900</v>
      </c>
      <c r="D912" s="164" t="s">
        <v>2901</v>
      </c>
      <c r="E912" s="524" t="s">
        <v>2902</v>
      </c>
    </row>
    <row r="913" spans="1:5" ht="27.6">
      <c r="A913" s="286" t="str">
        <f t="shared" si="13"/>
        <v xml:space="preserve">DISTILLED/DEIONIZED WATER PREPARATION </v>
      </c>
      <c r="B913" s="82" t="s">
        <v>524</v>
      </c>
      <c r="C913" s="37" t="s">
        <v>2903</v>
      </c>
      <c r="D913" s="82" t="s">
        <v>526</v>
      </c>
      <c r="E913" s="524" t="s">
        <v>2904</v>
      </c>
    </row>
    <row r="914" spans="1:5" ht="55.2">
      <c r="A914" s="286" t="str">
        <f t="shared" si="13"/>
        <v xml:space="preserve">If the lab or facility produces it's own distilled or deionized water, are QC records present for the following? </v>
      </c>
      <c r="B914" s="26" t="s">
        <v>2905</v>
      </c>
      <c r="C914" s="26" t="s">
        <v>2906</v>
      </c>
      <c r="D914" s="279" t="s">
        <v>2907</v>
      </c>
      <c r="E914" s="524" t="s">
        <v>2908</v>
      </c>
    </row>
    <row r="915" spans="1:5">
      <c r="A915" s="286" t="str">
        <f t="shared" si="13"/>
        <v>Conductimetry</v>
      </c>
      <c r="B915" s="26" t="s">
        <v>2909</v>
      </c>
      <c r="C915" s="26" t="s">
        <v>2910</v>
      </c>
      <c r="D915" s="279" t="s">
        <v>2911</v>
      </c>
      <c r="E915" s="524" t="s">
        <v>2912</v>
      </c>
    </row>
    <row r="916" spans="1:5">
      <c r="A916" s="286" t="str">
        <f t="shared" si="13"/>
        <v>pH</v>
      </c>
      <c r="B916" s="26" t="s">
        <v>2838</v>
      </c>
      <c r="C916" s="26" t="s">
        <v>2838</v>
      </c>
      <c r="D916" s="279" t="s">
        <v>2838</v>
      </c>
      <c r="E916" s="524" t="s">
        <v>2838</v>
      </c>
    </row>
    <row r="917" spans="1:5">
      <c r="A917" s="286" t="str">
        <f t="shared" si="13"/>
        <v>Sterility</v>
      </c>
      <c r="B917" s="26" t="s">
        <v>2913</v>
      </c>
      <c r="C917" s="26" t="s">
        <v>2914</v>
      </c>
      <c r="D917" s="279" t="s">
        <v>2915</v>
      </c>
      <c r="E917" s="524" t="s">
        <v>2916</v>
      </c>
    </row>
    <row r="918" spans="1:5" ht="69">
      <c r="A918" s="286" t="str">
        <f t="shared" si="13"/>
        <v xml:space="preserve">If the lab purchases distilled or deionized water, does it come with a Certificate of Analysis demonstrating proper pH, sterility and conductimetry? </v>
      </c>
      <c r="B918" s="26" t="s">
        <v>2917</v>
      </c>
      <c r="C918" s="26" t="s">
        <v>2918</v>
      </c>
      <c r="D918" s="279" t="s">
        <v>2919</v>
      </c>
      <c r="E918" s="524" t="s">
        <v>2920</v>
      </c>
    </row>
    <row r="919" spans="1:5">
      <c r="A919" s="286" t="str">
        <f t="shared" si="13"/>
        <v>ROUTINE MEDIA QC</v>
      </c>
      <c r="B919" s="26" t="s">
        <v>528</v>
      </c>
      <c r="C919" s="26" t="s">
        <v>2921</v>
      </c>
      <c r="D919" s="164" t="s">
        <v>530</v>
      </c>
      <c r="E919" s="524" t="s">
        <v>531</v>
      </c>
    </row>
    <row r="920" spans="1:5" ht="41.4">
      <c r="A920" s="286" t="str">
        <f t="shared" si="13"/>
        <v xml:space="preserve">Are new batches of media checked for sterility by incubating a portion of un-inoculated plates? </v>
      </c>
      <c r="B920" s="26" t="s">
        <v>2922</v>
      </c>
      <c r="C920" s="26" t="s">
        <v>2923</v>
      </c>
      <c r="D920" s="279" t="s">
        <v>2924</v>
      </c>
      <c r="E920" s="524" t="s">
        <v>2925</v>
      </c>
    </row>
    <row r="921" spans="1:5" ht="41.4">
      <c r="A921" s="286" t="str">
        <f t="shared" si="13"/>
        <v>Are media quality controlled by using ATCC or ATCC-derivative strains?</v>
      </c>
      <c r="B921" s="26" t="s">
        <v>2926</v>
      </c>
      <c r="C921" s="26" t="s">
        <v>2927</v>
      </c>
      <c r="D921" s="279" t="s">
        <v>2928</v>
      </c>
      <c r="E921" s="524" t="s">
        <v>2929</v>
      </c>
    </row>
    <row r="922" spans="1:5">
      <c r="A922" s="286" t="str">
        <f t="shared" si="13"/>
        <v>1: All - 2: Some - 3: None</v>
      </c>
      <c r="B922" s="26" t="s">
        <v>2930</v>
      </c>
      <c r="C922" s="26" t="s">
        <v>2931</v>
      </c>
      <c r="D922" s="279" t="s">
        <v>2932</v>
      </c>
      <c r="E922" s="524" t="s">
        <v>2933</v>
      </c>
    </row>
    <row r="923" spans="1:5" ht="69">
      <c r="A923" s="286" t="str">
        <f t="shared" si="13"/>
        <v xml:space="preserve">Do records demonstrate that QC is performed on each newly reconstituted batch or newly received lot number/shipment of media? </v>
      </c>
      <c r="B923" s="26" t="s">
        <v>2934</v>
      </c>
      <c r="C923" s="26" t="s">
        <v>2935</v>
      </c>
      <c r="D923" s="164" t="s">
        <v>2936</v>
      </c>
      <c r="E923" s="524" t="s">
        <v>2937</v>
      </c>
    </row>
    <row r="924" spans="1:5" ht="82.8">
      <c r="A924" s="286" t="str">
        <f t="shared" si="13"/>
        <v xml:space="preserve">Do QC records for blood agar plates (BAP) demonstrate that they are checked for their ability to support growth of fastidious organisms such as Streptococcus pneumoniae? </v>
      </c>
      <c r="B924" s="26" t="s">
        <v>2938</v>
      </c>
      <c r="C924" s="26" t="s">
        <v>2939</v>
      </c>
      <c r="D924" s="279" t="s">
        <v>2940</v>
      </c>
      <c r="E924" s="524" t="s">
        <v>2941</v>
      </c>
    </row>
    <row r="925" spans="1:5" ht="69">
      <c r="A925" s="286" t="str">
        <f t="shared" si="13"/>
        <v xml:space="preserve">Do QC records for BAP demonstrate that they are checked for their ability to show alpha, beta, and gamma hemolysis? </v>
      </c>
      <c r="B925" s="26" t="s">
        <v>2942</v>
      </c>
      <c r="C925" s="26" t="s">
        <v>2943</v>
      </c>
      <c r="D925" s="279" t="s">
        <v>2944</v>
      </c>
      <c r="E925" s="524" t="s">
        <v>2945</v>
      </c>
    </row>
    <row r="926" spans="1:5" ht="82.8">
      <c r="A926" s="286" t="str">
        <f t="shared" si="13"/>
        <v>Do QC records for chocolate agar plates demonstrate that they are checked for their ability to support the growth of fastidious organisms, such as Neisseria gonorrhoeae or H. influenzae?</v>
      </c>
      <c r="B926" s="26" t="s">
        <v>2946</v>
      </c>
      <c r="C926" s="26" t="s">
        <v>2947</v>
      </c>
      <c r="D926" s="279" t="s">
        <v>2948</v>
      </c>
      <c r="E926" s="524" t="s">
        <v>2949</v>
      </c>
    </row>
    <row r="927" spans="1:5" ht="138">
      <c r="A927" s="286" t="str">
        <f t="shared" si="13"/>
        <v>MacConkey (MAC) and Eosin methylene blue (EMB) agars contain bile salts and/or dyes that are toxic for gram-positive bacteria when made properly. Do QC records for MAC and/or EMB plates demonstrate that each batch/lot is challenged using a gram-positive organism?</v>
      </c>
      <c r="B927" s="26" t="s">
        <v>2950</v>
      </c>
      <c r="C927" s="26" t="s">
        <v>2951</v>
      </c>
      <c r="D927" s="164" t="s">
        <v>2952</v>
      </c>
      <c r="E927" s="524" t="s">
        <v>2953</v>
      </c>
    </row>
    <row r="928" spans="1:5" ht="151.80000000000001">
      <c r="A928" s="286" t="str">
        <f t="shared" si="13"/>
        <v>Dyes and pH indicators in MAC and EMB plates provide a color indicator to distinguish between lactose fermenting (LF) and non-lactose fermenting (NLF) gram-negative organisms. Do QC records for MAC and/or EMB plates demonstrate that each batch/lot is challenged using both LF and NLF organisms?</v>
      </c>
      <c r="B928" s="26" t="s">
        <v>2954</v>
      </c>
      <c r="C928" s="26" t="s">
        <v>2955</v>
      </c>
      <c r="D928" s="279" t="s">
        <v>2956</v>
      </c>
      <c r="E928" s="524" t="s">
        <v>2957</v>
      </c>
    </row>
    <row r="929" spans="1:5" ht="82.8">
      <c r="A929" s="286" t="str">
        <f t="shared" si="13"/>
        <v>Do QC records for selective stool agar plates (e.g. XLD, SS, HE) demonstrate that they are checked for their ability to suppress the growth of Gram positive organisms?</v>
      </c>
      <c r="B929" s="26" t="s">
        <v>2958</v>
      </c>
      <c r="C929" s="26" t="s">
        <v>2959</v>
      </c>
      <c r="D929" s="279" t="s">
        <v>2960</v>
      </c>
      <c r="E929" s="524" t="s">
        <v>2961</v>
      </c>
    </row>
    <row r="930" spans="1:5" ht="96.6">
      <c r="A930" s="286" t="str">
        <f t="shared" ref="A930:A992" si="14">IF(langue=1,B930,IF(langue=2,C930,IF(langue=3,D930,IF(langue=4,E930,F930))))</f>
        <v>Do QC records for selective stool agar plates demonstrate that they are checked for their ability to make hydrogen sulfide (H2S) production visible using a H2S producing organism, such as Salmonella spp or Proteus vulgaris?</v>
      </c>
      <c r="B930" s="26" t="s">
        <v>2962</v>
      </c>
      <c r="C930" s="26" t="s">
        <v>2963</v>
      </c>
      <c r="D930" s="164" t="s">
        <v>2964</v>
      </c>
      <c r="E930" s="524" t="s">
        <v>2965</v>
      </c>
    </row>
    <row r="931" spans="1:5" ht="96.6">
      <c r="A931" s="286" t="str">
        <f t="shared" si="14"/>
        <v>Do QC records for selective stool agar plates demonstrate that they are checked for their ability to make the acid byproducts of carbohydrate fermentation visible using both fermenters and nonfermenters?</v>
      </c>
      <c r="B931" s="26" t="s">
        <v>2966</v>
      </c>
      <c r="C931" s="26" t="s">
        <v>2967</v>
      </c>
      <c r="D931" s="164" t="s">
        <v>2968</v>
      </c>
      <c r="E931" s="524" t="s">
        <v>2969</v>
      </c>
    </row>
    <row r="932" spans="1:5" ht="179.4">
      <c r="A932" s="286" t="str">
        <f t="shared" si="14"/>
        <v>Standard: CAP MIC.21300; SANAS TG 28-02: 6.1 The suitable performance of culture media, diluents, and other suspensions prepared in-house should be checked, where relevant, with regard to recovery or survival maintenance of target organisms, inhibition or suppression of non-target organisms, biochemical (differential and diagnostic) properties, physical properties (e.g. pH, volume, and sterility).</v>
      </c>
      <c r="B932" s="26" t="s">
        <v>2970</v>
      </c>
      <c r="C932" s="26" t="s">
        <v>2971</v>
      </c>
      <c r="D932" s="164" t="s">
        <v>2972</v>
      </c>
      <c r="E932" s="524" t="s">
        <v>2973</v>
      </c>
    </row>
    <row r="933" spans="1:5" ht="27.6">
      <c r="A933" s="286" t="str">
        <f t="shared" si="14"/>
        <v>MULLER HINTON MEDIA PREPARATION AND QC</v>
      </c>
      <c r="B933" s="26" t="s">
        <v>532</v>
      </c>
      <c r="C933" s="26" t="s">
        <v>2974</v>
      </c>
      <c r="D933" s="279" t="s">
        <v>534</v>
      </c>
      <c r="E933" s="524" t="s">
        <v>2975</v>
      </c>
    </row>
    <row r="934" spans="1:5" ht="41.4">
      <c r="A934" s="286" t="str">
        <f t="shared" si="14"/>
        <v>Examine the lab’s Mueller Hinton plates and SOP for the following:</v>
      </c>
      <c r="B934" s="26" t="s">
        <v>2976</v>
      </c>
      <c r="C934" s="26" t="s">
        <v>2977</v>
      </c>
      <c r="D934" s="279" t="s">
        <v>2978</v>
      </c>
      <c r="E934" s="524" t="s">
        <v>2979</v>
      </c>
    </row>
    <row r="935" spans="1:5" ht="69">
      <c r="A935" s="286" t="str">
        <f t="shared" si="14"/>
        <v>Does the dehydrated Mueller Hinton Agar (dHMA) meet ISO 16782 (CLSI M6) standards? (Low thymine/thymidine content, not supplemented with Mg++ or Ca++ cations)</v>
      </c>
      <c r="B935" s="26" t="s">
        <v>2980</v>
      </c>
      <c r="C935" s="26" t="s">
        <v>2981</v>
      </c>
      <c r="D935" s="279" t="s">
        <v>2982</v>
      </c>
      <c r="E935" s="524" t="s">
        <v>2983</v>
      </c>
    </row>
    <row r="936" spans="1:5" ht="27.6">
      <c r="A936" s="286" t="str">
        <f t="shared" si="14"/>
        <v>Does the lab add calcium or magnesium cations to dMHA?</v>
      </c>
      <c r="B936" s="26" t="s">
        <v>2984</v>
      </c>
      <c r="C936" s="26" t="s">
        <v>2985</v>
      </c>
      <c r="D936" s="279" t="s">
        <v>2986</v>
      </c>
      <c r="E936" s="524" t="s">
        <v>2987</v>
      </c>
    </row>
    <row r="937" spans="1:5" ht="55.2">
      <c r="A937" s="286" t="str">
        <f t="shared" si="14"/>
        <v>Immediately after autoclaving, is agar allowed to cool in a 45° - 50°C water bath?</v>
      </c>
      <c r="B937" s="26" t="s">
        <v>2988</v>
      </c>
      <c r="C937" s="26" t="s">
        <v>2989</v>
      </c>
      <c r="D937" s="279" t="s">
        <v>2990</v>
      </c>
      <c r="E937" s="524" t="s">
        <v>2991</v>
      </c>
    </row>
    <row r="938" spans="1:5" ht="55.2">
      <c r="A938" s="286" t="str">
        <f t="shared" si="14"/>
        <v>Do plates have a uniform depth of approximately 4mm? Verify by examining a recent batch.</v>
      </c>
      <c r="B938" s="26" t="s">
        <v>2992</v>
      </c>
      <c r="C938" s="26" t="s">
        <v>2993</v>
      </c>
      <c r="D938" s="279" t="s">
        <v>2994</v>
      </c>
      <c r="E938" s="524" t="s">
        <v>2995</v>
      </c>
    </row>
    <row r="939" spans="1:5" ht="27.6">
      <c r="A939" s="286" t="str">
        <f t="shared" si="14"/>
        <v>Are plates poured on a level surface?</v>
      </c>
      <c r="B939" s="26" t="s">
        <v>2996</v>
      </c>
      <c r="C939" s="26" t="s">
        <v>2997</v>
      </c>
      <c r="D939" s="279" t="s">
        <v>2998</v>
      </c>
      <c r="E939" s="524" t="s">
        <v>2999</v>
      </c>
    </row>
    <row r="940" spans="1:5" ht="41.4">
      <c r="A940" s="286" t="str">
        <f t="shared" si="14"/>
        <v>Do records demonstrate that pH is 7.2 – 7.4 for each batch?</v>
      </c>
      <c r="B940" s="26" t="s">
        <v>3000</v>
      </c>
      <c r="C940" s="26" t="s">
        <v>3001</v>
      </c>
      <c r="D940" s="279" t="s">
        <v>3002</v>
      </c>
      <c r="E940" s="524" t="s">
        <v>3003</v>
      </c>
    </row>
    <row r="941" spans="1:5" ht="55.2">
      <c r="A941" s="286" t="str">
        <f t="shared" si="14"/>
        <v>Do records indicate that sterility is checked for each batch? (By incubating a portion of un-inoculated plates, ideally 5%)</v>
      </c>
      <c r="B941" s="26" t="s">
        <v>3004</v>
      </c>
      <c r="C941" s="26" t="s">
        <v>3005</v>
      </c>
      <c r="D941" s="279" t="s">
        <v>3006</v>
      </c>
      <c r="E941" s="524" t="s">
        <v>3007</v>
      </c>
    </row>
    <row r="942" spans="1:5" ht="27.6">
      <c r="A942" s="286" t="str">
        <f t="shared" si="14"/>
        <v>Are plates stored at 2-8°C until use?</v>
      </c>
      <c r="B942" s="26" t="s">
        <v>3008</v>
      </c>
      <c r="C942" s="26" t="s">
        <v>3009</v>
      </c>
      <c r="D942" s="279" t="s">
        <v>3010</v>
      </c>
      <c r="E942" s="524" t="s">
        <v>3011</v>
      </c>
    </row>
    <row r="943" spans="1:5" ht="41.4">
      <c r="A943" s="286" t="str">
        <f t="shared" si="14"/>
        <v>Are plates stored inside bags/sleeves to avoid dehydration?</v>
      </c>
      <c r="B943" s="26" t="s">
        <v>2899</v>
      </c>
      <c r="C943" s="26" t="s">
        <v>3012</v>
      </c>
      <c r="D943" s="164" t="s">
        <v>2901</v>
      </c>
      <c r="E943" s="524" t="s">
        <v>3013</v>
      </c>
    </row>
    <row r="944" spans="1:5" ht="96.6">
      <c r="A944" s="286" t="str">
        <f t="shared" si="14"/>
        <v>Do QC records indicate that each batch of Mueller Hinton agar is checked for its ability to produce expected zone sizes using the following ATCC reference strains and antibiotics?</v>
      </c>
      <c r="B944" s="26" t="s">
        <v>3014</v>
      </c>
      <c r="C944" s="26" t="s">
        <v>3015</v>
      </c>
      <c r="D944" s="279" t="s">
        <v>3016</v>
      </c>
      <c r="E944" s="524" t="s">
        <v>3017</v>
      </c>
    </row>
    <row r="945" spans="1:5" ht="27.6">
      <c r="A945" s="286" t="str">
        <f t="shared" si="14"/>
        <v>Pseudomonas aeruginosa 27853 and gentamicin disk</v>
      </c>
      <c r="B945" s="26" t="s">
        <v>3018</v>
      </c>
      <c r="C945" s="26" t="s">
        <v>3019</v>
      </c>
      <c r="D945" s="279" t="s">
        <v>3020</v>
      </c>
      <c r="E945" s="524" t="s">
        <v>3021</v>
      </c>
    </row>
    <row r="946" spans="1:5" ht="41.4">
      <c r="A946" s="286" t="str">
        <f t="shared" si="14"/>
        <v>Enterococcus faecalis 29212 or 33186 and trimethoprim-sulfamethoxazole disk</v>
      </c>
      <c r="B946" s="26" t="s">
        <v>3022</v>
      </c>
      <c r="C946" s="26" t="s">
        <v>3023</v>
      </c>
      <c r="D946" s="279" t="s">
        <v>3024</v>
      </c>
      <c r="E946" s="524" t="s">
        <v>3025</v>
      </c>
    </row>
    <row r="947" spans="1:5" ht="96.6">
      <c r="A947" s="286" t="str">
        <f t="shared" si="14"/>
        <v>Do QC records indicate that each batch of Mueller Hinton Blood agar is checked for its ability to produce expected zone sizes using Streptococcus pneumoniae ATCC 49619 (or equivalent)?</v>
      </c>
      <c r="B947" s="26" t="s">
        <v>3026</v>
      </c>
      <c r="C947" s="26" t="s">
        <v>3027</v>
      </c>
      <c r="D947" s="279" t="s">
        <v>3028</v>
      </c>
      <c r="E947" s="524" t="s">
        <v>3029</v>
      </c>
    </row>
    <row r="948" spans="1:5" ht="27.6">
      <c r="A948" s="286" t="str">
        <f t="shared" si="14"/>
        <v>Check NA if the lab does not use MHB</v>
      </c>
      <c r="B948" s="26" t="s">
        <v>3030</v>
      </c>
      <c r="C948" s="26" t="s">
        <v>3031</v>
      </c>
      <c r="D948" s="279" t="s">
        <v>3032</v>
      </c>
      <c r="E948" s="524" t="s">
        <v>3033</v>
      </c>
    </row>
    <row r="949" spans="1:5" ht="27.6">
      <c r="A949" s="286" t="str">
        <f t="shared" si="14"/>
        <v>BLOOD CULTURE BOTTLES PREPARATION AND QC</v>
      </c>
      <c r="B949" s="26" t="s">
        <v>536</v>
      </c>
      <c r="C949" s="26" t="s">
        <v>3034</v>
      </c>
      <c r="D949" s="279" t="s">
        <v>538</v>
      </c>
      <c r="E949" s="524" t="s">
        <v>3035</v>
      </c>
    </row>
    <row r="950" spans="1:5" ht="27.6">
      <c r="A950" s="286" t="str">
        <f t="shared" si="14"/>
        <v>Does the lab prepare blood culture bottles in-house?</v>
      </c>
      <c r="B950" s="26" t="s">
        <v>3036</v>
      </c>
      <c r="C950" s="304" t="s">
        <v>3037</v>
      </c>
      <c r="D950" s="279" t="s">
        <v>3038</v>
      </c>
      <c r="E950" s="524" t="s">
        <v>3039</v>
      </c>
    </row>
    <row r="951" spans="1:5" ht="27.6">
      <c r="A951" s="286" t="str">
        <f t="shared" si="14"/>
        <v>If no, answer NA to remaining questions</v>
      </c>
      <c r="B951" s="26" t="s">
        <v>3040</v>
      </c>
      <c r="C951" s="304" t="s">
        <v>3041</v>
      </c>
      <c r="D951" s="279" t="s">
        <v>3042</v>
      </c>
      <c r="E951" s="524" t="s">
        <v>3043</v>
      </c>
    </row>
    <row r="952" spans="1:5" ht="41.4">
      <c r="A952" s="286" t="str">
        <f t="shared" si="14"/>
        <v xml:space="preserve">Which base broth is used? (Broth must support growth of a wide range of bacterial species) </v>
      </c>
      <c r="B952" s="26" t="s">
        <v>3044</v>
      </c>
      <c r="C952" s="304" t="s">
        <v>3045</v>
      </c>
      <c r="D952" s="279" t="s">
        <v>3046</v>
      </c>
      <c r="E952" s="524" t="s">
        <v>3047</v>
      </c>
    </row>
    <row r="953" spans="1:5" ht="55.2">
      <c r="A953" s="286" t="str">
        <f t="shared" si="14"/>
        <v>1-Brain Heart Infusion, 2-Supplemented peptone, 3-Soybean-casein digest (tryptic soy), 4-Thioglycolate, 5-Thiol, 6-Colombia, 7-Brucella, 8-Other, NA</v>
      </c>
      <c r="B953" s="26" t="s">
        <v>3048</v>
      </c>
      <c r="C953" s="304" t="s">
        <v>3049</v>
      </c>
      <c r="D953" s="279" t="s">
        <v>3050</v>
      </c>
      <c r="E953" s="524" t="s">
        <v>3051</v>
      </c>
    </row>
    <row r="954" spans="1:5" ht="41.4">
      <c r="A954" s="286" t="str">
        <f t="shared" si="14"/>
        <v>Is sodium polyanethole sulfonate (SPS) added? (an anticoagulant and growth stabilizer)</v>
      </c>
      <c r="B954" s="26" t="s">
        <v>3052</v>
      </c>
      <c r="C954" s="304" t="s">
        <v>3053</v>
      </c>
      <c r="D954" s="279" t="s">
        <v>3054</v>
      </c>
      <c r="E954" s="524" t="s">
        <v>3055</v>
      </c>
    </row>
    <row r="955" spans="1:5" ht="69">
      <c r="A955" s="286" t="str">
        <f t="shared" si="14"/>
        <v>Are any growth-promoters added? (Such as: Gelatin, Yeast Extract, Hemin (X-factor), NAD (Y-factor), Pyridoxine, Para-amino benzoic acid, Cysteine)</v>
      </c>
      <c r="B955" s="26" t="s">
        <v>3056</v>
      </c>
      <c r="C955" s="304" t="s">
        <v>3057</v>
      </c>
      <c r="D955" s="279" t="s">
        <v>3058</v>
      </c>
      <c r="E955" s="524" t="s">
        <v>3059</v>
      </c>
    </row>
    <row r="956" spans="1:5" ht="27.6">
      <c r="A956" s="286" t="str">
        <f t="shared" si="14"/>
        <v>If yes, please describe in comments</v>
      </c>
      <c r="B956" s="26" t="s">
        <v>3060</v>
      </c>
      <c r="C956" s="304" t="s">
        <v>3061</v>
      </c>
      <c r="D956" s="279" t="s">
        <v>3062</v>
      </c>
      <c r="E956" s="524" t="s">
        <v>3063</v>
      </c>
    </row>
    <row r="957" spans="1:5" ht="55.2">
      <c r="A957" s="286" t="str">
        <f t="shared" si="14"/>
        <v>Are resins or charcoal added? (to bind antimicrobials present in the patient's blood)</v>
      </c>
      <c r="B957" s="26" t="s">
        <v>3064</v>
      </c>
      <c r="C957" s="26" t="s">
        <v>3065</v>
      </c>
      <c r="D957" s="279" t="s">
        <v>3066</v>
      </c>
      <c r="E957" s="524" t="s">
        <v>3067</v>
      </c>
    </row>
    <row r="958" spans="1:5" ht="27.6">
      <c r="A958" s="286" t="str">
        <f t="shared" si="14"/>
        <v>If yes, please descrube in comments</v>
      </c>
      <c r="B958" s="26" t="s">
        <v>3068</v>
      </c>
      <c r="C958" s="26" t="s">
        <v>3069</v>
      </c>
      <c r="D958" s="279" t="s">
        <v>3062</v>
      </c>
      <c r="E958" s="524" t="s">
        <v>3063</v>
      </c>
    </row>
    <row r="959" spans="1:5" ht="41.4">
      <c r="A959" s="286" t="str">
        <f t="shared" si="14"/>
        <v>Is 50mL of broth dispensed into sterile bottles for adult patients? (1:5 blood:broth ratio)</v>
      </c>
      <c r="B959" s="26" t="s">
        <v>3070</v>
      </c>
      <c r="C959" s="26" t="s">
        <v>3071</v>
      </c>
      <c r="D959" s="279" t="s">
        <v>3072</v>
      </c>
      <c r="E959" s="524" t="s">
        <v>3073</v>
      </c>
    </row>
    <row r="960" spans="1:5" ht="55.2">
      <c r="A960" s="286" t="str">
        <f t="shared" si="14"/>
        <v>Is 25mL of broth dispensed into sterile bottles for pediatric patients? (1:5 blood:broth ratio)</v>
      </c>
      <c r="B960" s="26" t="s">
        <v>3074</v>
      </c>
      <c r="C960" s="26" t="s">
        <v>3075</v>
      </c>
      <c r="D960" s="279" t="s">
        <v>3076</v>
      </c>
      <c r="E960" s="524" t="s">
        <v>3077</v>
      </c>
    </row>
    <row r="961" spans="1:5" ht="27.6">
      <c r="A961" s="286" t="str">
        <f t="shared" si="14"/>
        <v>Are the bottles autoclaved at 121°C for &gt;15 min?</v>
      </c>
      <c r="B961" s="26" t="s">
        <v>3078</v>
      </c>
      <c r="C961" s="26" t="s">
        <v>3079</v>
      </c>
      <c r="D961" s="279" t="s">
        <v>3080</v>
      </c>
      <c r="E961" s="524" t="s">
        <v>3081</v>
      </c>
    </row>
    <row r="962" spans="1:5" ht="41.4">
      <c r="A962" s="286" t="str">
        <f t="shared" si="14"/>
        <v>Do QC records for blood culture bottles indicate the following:</v>
      </c>
      <c r="B962" s="26" t="s">
        <v>3082</v>
      </c>
      <c r="C962" s="26" t="s">
        <v>3083</v>
      </c>
      <c r="D962" s="279" t="s">
        <v>3084</v>
      </c>
      <c r="E962" s="524" t="s">
        <v>3085</v>
      </c>
    </row>
    <row r="963" spans="1:5" ht="27.6">
      <c r="A963" s="286" t="str">
        <f t="shared" si="14"/>
        <v>Visual inspection performed and documented</v>
      </c>
      <c r="B963" s="26" t="s">
        <v>3086</v>
      </c>
      <c r="C963" s="26" t="s">
        <v>3087</v>
      </c>
      <c r="D963" s="279" t="s">
        <v>3088</v>
      </c>
      <c r="E963" s="524" t="s">
        <v>3089</v>
      </c>
    </row>
    <row r="964" spans="1:5" ht="41.4">
      <c r="A964" s="286" t="str">
        <f t="shared" si="14"/>
        <v>Checked for sterility by incubating a portion of uninoculated bottles? (Ideally 5%)</v>
      </c>
      <c r="B964" s="26" t="s">
        <v>3090</v>
      </c>
      <c r="C964" s="26" t="s">
        <v>3091</v>
      </c>
      <c r="D964" s="279" t="s">
        <v>3092</v>
      </c>
      <c r="E964" s="524" t="s">
        <v>3093</v>
      </c>
    </row>
    <row r="965" spans="1:5" ht="27.6">
      <c r="A965" s="286" t="str">
        <f t="shared" si="14"/>
        <v>Ability to support growth of Streptococcus pneumoniae</v>
      </c>
      <c r="B965" s="26" t="s">
        <v>3094</v>
      </c>
      <c r="C965" s="26" t="s">
        <v>3095</v>
      </c>
      <c r="D965" s="279" t="s">
        <v>3096</v>
      </c>
      <c r="E965" s="524" t="s">
        <v>3097</v>
      </c>
    </row>
    <row r="966" spans="1:5" ht="27.6">
      <c r="A966" s="286" t="str">
        <f t="shared" si="14"/>
        <v>Ability to support growth of Haemophilus influenzae</v>
      </c>
      <c r="B966" s="26" t="s">
        <v>3098</v>
      </c>
      <c r="C966" s="26" t="s">
        <v>3099</v>
      </c>
      <c r="D966" s="279" t="s">
        <v>3100</v>
      </c>
      <c r="E966" s="524" t="s">
        <v>3101</v>
      </c>
    </row>
    <row r="967" spans="1:5" ht="55.2">
      <c r="A967" s="286" t="str">
        <f t="shared" si="14"/>
        <v>Near the expiration date, is QC repeated on a few of the bottles to confirm the long-term stability of the broth?</v>
      </c>
      <c r="B967" s="26" t="s">
        <v>3102</v>
      </c>
      <c r="C967" s="26" t="s">
        <v>3103</v>
      </c>
      <c r="D967" s="279" t="s">
        <v>3104</v>
      </c>
      <c r="E967" s="524" t="s">
        <v>3105</v>
      </c>
    </row>
    <row r="968" spans="1:5" ht="55.2">
      <c r="A968" s="286" t="str">
        <f t="shared" si="14"/>
        <v>Are unused bottles labeled correctly (name, batch #, production date and expiration date)?</v>
      </c>
      <c r="B968" s="26" t="s">
        <v>3106</v>
      </c>
      <c r="C968" s="26" t="s">
        <v>3107</v>
      </c>
      <c r="D968" s="279" t="s">
        <v>3108</v>
      </c>
      <c r="E968" s="524" t="s">
        <v>3109</v>
      </c>
    </row>
    <row r="969" spans="1:5" ht="27.6">
      <c r="A969" s="286" t="str">
        <f t="shared" si="14"/>
        <v>6- QUALITY CONTROL - ID METHODS</v>
      </c>
      <c r="B969" s="26" t="s">
        <v>3110</v>
      </c>
      <c r="C969" s="26" t="s">
        <v>3111</v>
      </c>
      <c r="D969" s="279" t="s">
        <v>3112</v>
      </c>
      <c r="E969" s="524" t="s">
        <v>3113</v>
      </c>
    </row>
    <row r="970" spans="1:5" ht="27.6">
      <c r="A970" s="286" t="str">
        <f t="shared" si="14"/>
        <v>GRAM STAIN QC and REAGENT LABELING AND STORAGE</v>
      </c>
      <c r="B970" s="26" t="s">
        <v>544</v>
      </c>
      <c r="C970" s="26" t="s">
        <v>3114</v>
      </c>
      <c r="D970" s="164" t="s">
        <v>546</v>
      </c>
      <c r="E970" s="524" t="s">
        <v>547</v>
      </c>
    </row>
    <row r="971" spans="1:5" ht="55.2">
      <c r="A971" s="286" t="str">
        <f t="shared" si="14"/>
        <v>Is QC performed and results recorded on each new preparation or lot number of Gram stain reagents?</v>
      </c>
      <c r="B971" s="26" t="s">
        <v>3115</v>
      </c>
      <c r="C971" s="26" t="s">
        <v>3116</v>
      </c>
      <c r="D971" s="279" t="s">
        <v>3117</v>
      </c>
      <c r="E971" s="524" t="s">
        <v>3118</v>
      </c>
    </row>
    <row r="972" spans="1:5">
      <c r="A972" s="286" t="str">
        <f t="shared" si="14"/>
        <v>1: Yes - 2: Partial - 3: No</v>
      </c>
      <c r="B972" s="26" t="s">
        <v>3119</v>
      </c>
      <c r="C972" s="26" t="s">
        <v>3120</v>
      </c>
      <c r="D972" s="279" t="s">
        <v>3121</v>
      </c>
      <c r="E972" s="524" t="s">
        <v>3122</v>
      </c>
    </row>
    <row r="973" spans="1:5" ht="82.8">
      <c r="A973" s="286" t="str">
        <f t="shared" si="14"/>
        <v>Standard: CAP MIC.21540, MIC.21624 All staining procedures (Gram stains, special stains, and fluorescent stains) should be checked and results recorded for each new batch of stain.</v>
      </c>
      <c r="B973" s="26" t="s">
        <v>3123</v>
      </c>
      <c r="C973" s="26" t="s">
        <v>3124</v>
      </c>
      <c r="D973" s="164" t="s">
        <v>3125</v>
      </c>
      <c r="E973" s="524" t="s">
        <v>3126</v>
      </c>
    </row>
    <row r="974" spans="1:5" ht="41.4">
      <c r="A974" s="286" t="str">
        <f t="shared" si="14"/>
        <v>Is Gram stain QC performed using both positive and negative control organisms?</v>
      </c>
      <c r="B974" s="26" t="s">
        <v>3127</v>
      </c>
      <c r="C974" s="26" t="s">
        <v>3128</v>
      </c>
      <c r="D974" s="279" t="s">
        <v>3129</v>
      </c>
      <c r="E974" s="524" t="s">
        <v>3130</v>
      </c>
    </row>
    <row r="975" spans="1:5" ht="55.2">
      <c r="A975" s="286" t="str">
        <f t="shared" si="14"/>
        <v xml:space="preserve">Observe the Gram stain, catalase, coagulase, oxidase and indole reagents in use by the laboratory. Are they labeled with: </v>
      </c>
      <c r="B975" s="26" t="s">
        <v>3131</v>
      </c>
      <c r="C975" s="26" t="s">
        <v>3132</v>
      </c>
      <c r="D975" s="279" t="s">
        <v>3133</v>
      </c>
      <c r="E975" s="524" t="s">
        <v>3134</v>
      </c>
    </row>
    <row r="976" spans="1:5">
      <c r="A976" s="286" t="str">
        <f t="shared" si="14"/>
        <v>Name of reagent</v>
      </c>
      <c r="B976" s="26" t="s">
        <v>3135</v>
      </c>
      <c r="C976" s="26" t="s">
        <v>3136</v>
      </c>
      <c r="D976" s="279" t="s">
        <v>3137</v>
      </c>
      <c r="E976" s="524" t="s">
        <v>3138</v>
      </c>
    </row>
    <row r="977" spans="1:5" ht="27.6">
      <c r="A977" s="286" t="str">
        <f t="shared" si="14"/>
        <v>Date of preparation/reconstitution (if relevant, e.g., coagulase)</v>
      </c>
      <c r="B977" s="26" t="s">
        <v>3139</v>
      </c>
      <c r="C977" s="26" t="s">
        <v>3140</v>
      </c>
      <c r="D977" s="279" t="s">
        <v>3141</v>
      </c>
      <c r="E977" s="524" t="s">
        <v>3142</v>
      </c>
    </row>
    <row r="978" spans="1:5">
      <c r="A978" s="286" t="str">
        <f t="shared" si="14"/>
        <v>Date of opening</v>
      </c>
      <c r="B978" s="26" t="s">
        <v>3143</v>
      </c>
      <c r="C978" s="26" t="s">
        <v>2854</v>
      </c>
      <c r="D978" s="279" t="s">
        <v>2855</v>
      </c>
      <c r="E978" s="524" t="s">
        <v>2856</v>
      </c>
    </row>
    <row r="979" spans="1:5">
      <c r="A979" s="286" t="str">
        <f t="shared" si="14"/>
        <v>Expiration date</v>
      </c>
      <c r="B979" s="26" t="s">
        <v>2852</v>
      </c>
      <c r="C979" s="26" t="s">
        <v>2844</v>
      </c>
      <c r="D979" s="279" t="s">
        <v>2845</v>
      </c>
      <c r="E979" s="524" t="s">
        <v>2846</v>
      </c>
    </row>
    <row r="980" spans="1:5">
      <c r="A980" s="286" t="str">
        <f t="shared" si="14"/>
        <v>1: All - 2: Some - 3: None</v>
      </c>
      <c r="B980" s="26" t="s">
        <v>2930</v>
      </c>
      <c r="C980" s="26" t="s">
        <v>2931</v>
      </c>
      <c r="D980" s="279" t="s">
        <v>2932</v>
      </c>
      <c r="E980" s="524" t="s">
        <v>3144</v>
      </c>
    </row>
    <row r="981" spans="1:5" ht="41.4">
      <c r="A981" s="286" t="str">
        <f t="shared" si="14"/>
        <v>Are tubed media, reagents, and kits stored at the temperatures indicated by the manufacturer?</v>
      </c>
      <c r="B981" s="26" t="s">
        <v>3145</v>
      </c>
      <c r="C981" s="26" t="s">
        <v>3146</v>
      </c>
      <c r="D981" s="279" t="s">
        <v>3147</v>
      </c>
      <c r="E981" s="524" t="s">
        <v>3148</v>
      </c>
    </row>
    <row r="982" spans="1:5" ht="27.6">
      <c r="A982" s="286" t="str">
        <f t="shared" si="14"/>
        <v>QC OF INDIVIDUAL BIOCHEMICAL METHODS</v>
      </c>
      <c r="B982" s="26" t="s">
        <v>548</v>
      </c>
      <c r="C982" s="26" t="s">
        <v>3149</v>
      </c>
      <c r="D982" s="279" t="s">
        <v>550</v>
      </c>
      <c r="E982" s="524" t="s">
        <v>3150</v>
      </c>
    </row>
    <row r="983" spans="1:5" ht="41.4">
      <c r="A983" s="286" t="str">
        <f t="shared" si="14"/>
        <v>NOTE: This question applies only to the tubed media and liquid reagents in use by the lab.</v>
      </c>
      <c r="B983" s="26" t="s">
        <v>3151</v>
      </c>
      <c r="C983" s="26" t="s">
        <v>3152</v>
      </c>
      <c r="D983" s="279" t="s">
        <v>3153</v>
      </c>
      <c r="E983" s="524" t="s">
        <v>3154</v>
      </c>
    </row>
    <row r="984" spans="1:5" ht="41.4">
      <c r="A984" s="286" t="str">
        <f t="shared" si="14"/>
        <v>It does NOT apply to the biochemical reagent wells incorporated into pre-defined identification systems,</v>
      </c>
      <c r="B984" s="26" t="s">
        <v>3155</v>
      </c>
      <c r="C984" s="26" t="s">
        <v>3156</v>
      </c>
      <c r="D984" s="279" t="s">
        <v>3157</v>
      </c>
      <c r="E984" s="524" t="s">
        <v>3158</v>
      </c>
    </row>
    <row r="985" spans="1:5">
      <c r="A985" s="286" t="str">
        <f t="shared" si="14"/>
        <v xml:space="preserve">such as Vitek, API, Liofilchem, etc. </v>
      </c>
      <c r="B985" s="26" t="s">
        <v>3159</v>
      </c>
      <c r="C985" s="26" t="s">
        <v>3160</v>
      </c>
      <c r="D985" s="279" t="s">
        <v>3161</v>
      </c>
      <c r="E985" s="524" t="s">
        <v>3162</v>
      </c>
    </row>
    <row r="986" spans="1:5" ht="41.4">
      <c r="A986" s="286" t="str">
        <f t="shared" si="14"/>
        <v>Do QC records demonstrate the following? If a reagent is not used, check NA</v>
      </c>
      <c r="B986" s="26" t="s">
        <v>3163</v>
      </c>
      <c r="C986" s="26" t="s">
        <v>3164</v>
      </c>
      <c r="D986" s="279" t="s">
        <v>3165</v>
      </c>
      <c r="E986" s="524" t="s">
        <v>3166</v>
      </c>
    </row>
    <row r="987" spans="1:5">
      <c r="A987" s="286" t="str">
        <f t="shared" si="14"/>
        <v>Catalase (H2O2)</v>
      </c>
      <c r="B987" s="26" t="s">
        <v>829</v>
      </c>
      <c r="C987" s="26" t="s">
        <v>829</v>
      </c>
      <c r="D987" s="279" t="s">
        <v>830</v>
      </c>
      <c r="E987" s="524" t="s">
        <v>829</v>
      </c>
    </row>
    <row r="988" spans="1:5">
      <c r="A988" s="286" t="str">
        <f t="shared" si="14"/>
        <v>Positive control is used</v>
      </c>
      <c r="B988" s="26" t="s">
        <v>3167</v>
      </c>
      <c r="C988" s="26" t="s">
        <v>3168</v>
      </c>
      <c r="D988" s="279" t="s">
        <v>3169</v>
      </c>
      <c r="E988" s="524" t="s">
        <v>3170</v>
      </c>
    </row>
    <row r="989" spans="1:5">
      <c r="A989" s="286" t="str">
        <f t="shared" si="14"/>
        <v>Negative control is used</v>
      </c>
      <c r="B989" s="26" t="s">
        <v>3171</v>
      </c>
      <c r="C989" s="26" t="s">
        <v>3172</v>
      </c>
      <c r="D989" s="279" t="s">
        <v>3173</v>
      </c>
      <c r="E989" s="524" t="s">
        <v>3174</v>
      </c>
    </row>
    <row r="990" spans="1:5" ht="27.6">
      <c r="A990" s="286" t="str">
        <f t="shared" si="14"/>
        <v>QC is performed on each new batch/lot number</v>
      </c>
      <c r="B990" s="26" t="s">
        <v>560</v>
      </c>
      <c r="C990" s="26" t="s">
        <v>3175</v>
      </c>
      <c r="D990" s="164" t="s">
        <v>562</v>
      </c>
      <c r="E990" s="524" t="s">
        <v>563</v>
      </c>
    </row>
    <row r="991" spans="1:5" ht="27.6">
      <c r="A991" s="286" t="str">
        <f t="shared" si="14"/>
        <v>QC is performed using ATCC or ATCC-derivative strains</v>
      </c>
      <c r="B991" s="26" t="s">
        <v>564</v>
      </c>
      <c r="C991" s="26" t="s">
        <v>3176</v>
      </c>
      <c r="D991" s="279" t="s">
        <v>3177</v>
      </c>
      <c r="E991" s="524" t="s">
        <v>3178</v>
      </c>
    </row>
    <row r="992" spans="1:5">
      <c r="A992" s="286" t="str">
        <f t="shared" si="14"/>
        <v>Coagulase plasma</v>
      </c>
      <c r="B992" s="26" t="s">
        <v>831</v>
      </c>
      <c r="C992" s="26" t="s">
        <v>3179</v>
      </c>
      <c r="D992" s="279" t="s">
        <v>833</v>
      </c>
      <c r="E992" s="524" t="s">
        <v>3179</v>
      </c>
    </row>
    <row r="993" spans="1:5" ht="27.6">
      <c r="A993" s="286" t="str">
        <f t="shared" ref="A993:A1005" si="15">IF(langue=1,B993,IF(langue=2,C993,IF(langue=3,D993,IF(langue=4,E993,F993))))</f>
        <v>Staph latex agglutination</v>
      </c>
      <c r="B993" s="26" t="s">
        <v>835</v>
      </c>
      <c r="C993" s="26" t="s">
        <v>3180</v>
      </c>
      <c r="D993" s="164" t="s">
        <v>837</v>
      </c>
      <c r="E993" s="524" t="s">
        <v>838</v>
      </c>
    </row>
    <row r="994" spans="1:5" ht="27.6">
      <c r="A994" s="286" t="str">
        <f t="shared" si="15"/>
        <v>Staph Chromagar</v>
      </c>
      <c r="B994" s="26" t="s">
        <v>3181</v>
      </c>
      <c r="C994" s="26" t="s">
        <v>3182</v>
      </c>
      <c r="D994" s="279" t="s">
        <v>840</v>
      </c>
      <c r="E994" s="524" t="s">
        <v>841</v>
      </c>
    </row>
    <row r="995" spans="1:5">
      <c r="A995" s="286" t="str">
        <f t="shared" si="15"/>
        <v>DNase</v>
      </c>
      <c r="B995" s="26" t="s">
        <v>842</v>
      </c>
      <c r="C995" s="26" t="s">
        <v>842</v>
      </c>
      <c r="D995" s="279" t="s">
        <v>843</v>
      </c>
      <c r="E995" s="524" t="s">
        <v>842</v>
      </c>
    </row>
    <row r="996" spans="1:5">
      <c r="A996" s="286" t="str">
        <f t="shared" si="15"/>
        <v>PYR</v>
      </c>
      <c r="B996" s="26" t="s">
        <v>844</v>
      </c>
      <c r="C996" s="26" t="s">
        <v>844</v>
      </c>
      <c r="D996" s="280" t="s">
        <v>845</v>
      </c>
      <c r="E996" s="524" t="s">
        <v>844</v>
      </c>
    </row>
    <row r="997" spans="1:5">
      <c r="A997" s="286" t="str">
        <f t="shared" si="15"/>
        <v>Optochin ("P") disk</v>
      </c>
      <c r="B997" s="26" t="s">
        <v>846</v>
      </c>
      <c r="C997" s="26" t="s">
        <v>3183</v>
      </c>
      <c r="D997" s="164" t="s">
        <v>3184</v>
      </c>
      <c r="E997" s="524" t="s">
        <v>849</v>
      </c>
    </row>
    <row r="998" spans="1:5">
      <c r="A998" s="286" t="str">
        <f t="shared" si="15"/>
        <v>Bile solubility (deoxycholate)</v>
      </c>
      <c r="B998" s="26" t="s">
        <v>850</v>
      </c>
      <c r="C998" s="26" t="s">
        <v>851</v>
      </c>
      <c r="D998" s="280" t="s">
        <v>852</v>
      </c>
      <c r="E998" s="524" t="s">
        <v>3185</v>
      </c>
    </row>
    <row r="999" spans="1:5" ht="27.6">
      <c r="A999" s="286" t="str">
        <f t="shared" si="15"/>
        <v>Strep pneumo latex agglutination</v>
      </c>
      <c r="B999" s="26" t="s">
        <v>3186</v>
      </c>
      <c r="C999" s="26" t="s">
        <v>3187</v>
      </c>
      <c r="D999" s="164" t="s">
        <v>3188</v>
      </c>
      <c r="E999" s="524" t="s">
        <v>3189</v>
      </c>
    </row>
    <row r="1000" spans="1:5">
      <c r="A1000" s="286" t="str">
        <f t="shared" si="15"/>
        <v>Oxidase</v>
      </c>
      <c r="B1000" s="26" t="s">
        <v>858</v>
      </c>
      <c r="C1000" s="26" t="s">
        <v>859</v>
      </c>
      <c r="D1000" s="279" t="s">
        <v>860</v>
      </c>
      <c r="E1000" s="524" t="s">
        <v>858</v>
      </c>
    </row>
    <row r="1001" spans="1:5">
      <c r="A1001" s="286" t="str">
        <f t="shared" si="15"/>
        <v>Indole reagents</v>
      </c>
      <c r="B1001" s="26" t="s">
        <v>861</v>
      </c>
      <c r="C1001" s="26" t="s">
        <v>3190</v>
      </c>
      <c r="D1001" s="279" t="s">
        <v>863</v>
      </c>
      <c r="E1001" s="524" t="s">
        <v>3191</v>
      </c>
    </row>
    <row r="1002" spans="1:5">
      <c r="A1002" s="286" t="str">
        <f t="shared" si="15"/>
        <v>Methyl Red</v>
      </c>
      <c r="B1002" s="26" t="s">
        <v>865</v>
      </c>
      <c r="C1002" s="26" t="s">
        <v>3192</v>
      </c>
      <c r="D1002" s="279" t="s">
        <v>867</v>
      </c>
      <c r="E1002" s="524" t="s">
        <v>868</v>
      </c>
    </row>
    <row r="1003" spans="1:5">
      <c r="A1003" s="286" t="str">
        <f t="shared" si="15"/>
        <v>Voges-Proskauer</v>
      </c>
      <c r="B1003" s="26" t="s">
        <v>869</v>
      </c>
      <c r="C1003" s="26" t="s">
        <v>869</v>
      </c>
      <c r="D1003" s="279" t="s">
        <v>869</v>
      </c>
      <c r="E1003" s="524" t="s">
        <v>869</v>
      </c>
    </row>
    <row r="1004" spans="1:5">
      <c r="A1004" s="286" t="str">
        <f t="shared" si="15"/>
        <v>Citrate</v>
      </c>
      <c r="B1004" s="26" t="s">
        <v>870</v>
      </c>
      <c r="C1004" s="26" t="s">
        <v>870</v>
      </c>
      <c r="D1004" s="279" t="s">
        <v>871</v>
      </c>
      <c r="E1004" s="524" t="s">
        <v>871</v>
      </c>
    </row>
    <row r="1005" spans="1:5" ht="27.6">
      <c r="A1005" s="286" t="str">
        <f t="shared" si="15"/>
        <v>Triple Sugar Iron agar or Kligler Iron Agar</v>
      </c>
      <c r="B1005" s="26" t="s">
        <v>3193</v>
      </c>
      <c r="C1005" s="26" t="s">
        <v>3194</v>
      </c>
      <c r="D1005" s="279" t="s">
        <v>3195</v>
      </c>
      <c r="E1005" s="524" t="s">
        <v>3196</v>
      </c>
    </row>
    <row r="1006" spans="1:5">
      <c r="A1006" s="286" t="str">
        <f t="shared" ref="A1006:A1033" si="16">IF(langue=1,B1006,IF(langue=2,C1006,IF(langue=3,D1006,IF(langue=4,E1006,F1006))))</f>
        <v>Urease</v>
      </c>
      <c r="B1006" s="26" t="s">
        <v>876</v>
      </c>
      <c r="C1006" s="26" t="s">
        <v>877</v>
      </c>
      <c r="D1006" s="279" t="s">
        <v>878</v>
      </c>
      <c r="E1006" s="524" t="s">
        <v>876</v>
      </c>
    </row>
    <row r="1007" spans="1:5">
      <c r="A1007" s="286" t="str">
        <f t="shared" si="16"/>
        <v>Motility</v>
      </c>
      <c r="B1007" s="26" t="s">
        <v>879</v>
      </c>
      <c r="C1007" s="26" t="s">
        <v>880</v>
      </c>
      <c r="D1007" s="279" t="s">
        <v>881</v>
      </c>
      <c r="E1007" s="524" t="s">
        <v>882</v>
      </c>
    </row>
    <row r="1008" spans="1:5" ht="27.6">
      <c r="A1008" s="286" t="str">
        <f t="shared" si="16"/>
        <v>Lysine Iron Agar (LIA) or Lysine decarboxylase (LDC)</v>
      </c>
      <c r="B1008" s="26" t="s">
        <v>883</v>
      </c>
      <c r="C1008" s="26" t="s">
        <v>884</v>
      </c>
      <c r="D1008" s="279" t="s">
        <v>885</v>
      </c>
      <c r="E1008" s="524" t="s">
        <v>886</v>
      </c>
    </row>
    <row r="1009" spans="1:5" ht="27.6">
      <c r="A1009" s="286" t="str">
        <f t="shared" si="16"/>
        <v>Glucose or Dextrose Oxidative-Fermentative (OF) test</v>
      </c>
      <c r="B1009" s="26" t="s">
        <v>887</v>
      </c>
      <c r="C1009" s="26" t="s">
        <v>888</v>
      </c>
      <c r="D1009" s="281" t="s">
        <v>889</v>
      </c>
      <c r="E1009" s="524" t="s">
        <v>3197</v>
      </c>
    </row>
    <row r="1010" spans="1:5">
      <c r="A1010" s="286" t="str">
        <f t="shared" si="16"/>
        <v>Nitrate reduction</v>
      </c>
      <c r="B1010" s="26" t="s">
        <v>891</v>
      </c>
      <c r="C1010" s="26" t="s">
        <v>892</v>
      </c>
      <c r="D1010" s="279" t="s">
        <v>3198</v>
      </c>
      <c r="E1010" s="524" t="s">
        <v>3199</v>
      </c>
    </row>
    <row r="1011" spans="1:5">
      <c r="A1011" s="286" t="str">
        <f t="shared" si="16"/>
        <v>Gelatin hydrolysis</v>
      </c>
      <c r="B1011" s="26" t="s">
        <v>895</v>
      </c>
      <c r="C1011" s="26" t="s">
        <v>896</v>
      </c>
      <c r="D1011" s="279" t="s">
        <v>3200</v>
      </c>
      <c r="E1011" s="524" t="s">
        <v>3201</v>
      </c>
    </row>
    <row r="1012" spans="1:5">
      <c r="A1012" s="286" t="str">
        <f t="shared" si="16"/>
        <v xml:space="preserve">Chloramphenicol resistance (disk) </v>
      </c>
      <c r="B1012" s="26" t="s">
        <v>3202</v>
      </c>
      <c r="C1012" s="26" t="s">
        <v>900</v>
      </c>
      <c r="D1012" s="279" t="s">
        <v>901</v>
      </c>
      <c r="E1012" s="524" t="s">
        <v>3203</v>
      </c>
    </row>
    <row r="1013" spans="1:5">
      <c r="A1013" s="286" t="str">
        <f t="shared" si="16"/>
        <v>Growth at 42°C</v>
      </c>
      <c r="B1013" s="26" t="s">
        <v>903</v>
      </c>
      <c r="C1013" s="26" t="s">
        <v>904</v>
      </c>
      <c r="D1013" s="279" t="s">
        <v>3204</v>
      </c>
      <c r="E1013" s="524" t="s">
        <v>906</v>
      </c>
    </row>
    <row r="1014" spans="1:5" ht="96.6">
      <c r="A1014" s="286" t="str">
        <f t="shared" si="16"/>
        <v>Standard: CAP MIC.21624 Positive and negative controls must be tested and recorded for all differential test procedures. Controls must be performed and recorded at the specific periodic intervals listed for the tests.</v>
      </c>
      <c r="B1014" s="26" t="s">
        <v>3205</v>
      </c>
      <c r="C1014" s="26" t="s">
        <v>3206</v>
      </c>
      <c r="D1014" s="164" t="s">
        <v>3207</v>
      </c>
      <c r="E1014" s="524" t="s">
        <v>3208</v>
      </c>
    </row>
    <row r="1015" spans="1:5" ht="27.6">
      <c r="A1015" s="286" t="str">
        <f t="shared" si="16"/>
        <v>QC OF ENTERIC SEROLOGY</v>
      </c>
      <c r="B1015" s="26" t="s">
        <v>568</v>
      </c>
      <c r="C1015" s="26" t="s">
        <v>3209</v>
      </c>
      <c r="D1015" s="164" t="s">
        <v>570</v>
      </c>
      <c r="E1015" s="524" t="s">
        <v>571</v>
      </c>
    </row>
    <row r="1016" spans="1:5" ht="55.2">
      <c r="A1016" s="286" t="str">
        <f t="shared" si="16"/>
        <v>Indicate whether the following aspects of QC for Salmonella and/or Shigella serology reagents are performed.</v>
      </c>
      <c r="B1016" s="26" t="s">
        <v>3210</v>
      </c>
      <c r="C1016" s="26" t="s">
        <v>3211</v>
      </c>
      <c r="D1016" s="164" t="s">
        <v>3212</v>
      </c>
      <c r="E1016" s="524" t="s">
        <v>3213</v>
      </c>
    </row>
    <row r="1017" spans="1:5" ht="27.6">
      <c r="A1017" s="286" t="str">
        <f t="shared" si="16"/>
        <v xml:space="preserve"> If serology testing is not performed, check NA.</v>
      </c>
      <c r="B1017" s="26" t="s">
        <v>3214</v>
      </c>
      <c r="C1017" s="26" t="s">
        <v>3215</v>
      </c>
      <c r="D1017" s="279" t="s">
        <v>3216</v>
      </c>
      <c r="E1017" s="524" t="s">
        <v>3217</v>
      </c>
    </row>
    <row r="1018" spans="1:5">
      <c r="A1018" s="286" t="str">
        <f t="shared" si="16"/>
        <v>Shigella serogoup</v>
      </c>
      <c r="B1018" s="26" t="s">
        <v>3218</v>
      </c>
      <c r="C1018" s="26" t="s">
        <v>3219</v>
      </c>
      <c r="D1018" s="279" t="s">
        <v>3220</v>
      </c>
      <c r="E1018" s="524" t="s">
        <v>3221</v>
      </c>
    </row>
    <row r="1019" spans="1:5">
      <c r="A1019" s="286" t="str">
        <f t="shared" si="16"/>
        <v>Positive control is used</v>
      </c>
      <c r="B1019" s="26" t="s">
        <v>3167</v>
      </c>
      <c r="C1019" s="26" t="s">
        <v>3168</v>
      </c>
      <c r="D1019" s="279" t="s">
        <v>3169</v>
      </c>
      <c r="E1019" s="524" t="s">
        <v>3170</v>
      </c>
    </row>
    <row r="1020" spans="1:5">
      <c r="A1020" s="286" t="str">
        <f t="shared" si="16"/>
        <v>Negative control is used</v>
      </c>
      <c r="B1020" s="26" t="s">
        <v>3171</v>
      </c>
      <c r="C1020" s="26" t="s">
        <v>3172</v>
      </c>
      <c r="D1020" s="279" t="s">
        <v>3173</v>
      </c>
      <c r="E1020" s="524" t="s">
        <v>3174</v>
      </c>
    </row>
    <row r="1021" spans="1:5" ht="27.6">
      <c r="A1021" s="286" t="str">
        <f t="shared" si="16"/>
        <v>QC is performed on each new batch/lot number</v>
      </c>
      <c r="B1021" s="26" t="s">
        <v>560</v>
      </c>
      <c r="C1021" s="26" t="s">
        <v>3175</v>
      </c>
      <c r="D1021" s="164" t="s">
        <v>562</v>
      </c>
      <c r="E1021" s="524" t="s">
        <v>563</v>
      </c>
    </row>
    <row r="1022" spans="1:5" ht="27.6">
      <c r="A1022" s="286" t="str">
        <f t="shared" si="16"/>
        <v>QC is performed using ATCC or ATCC-derivative strains</v>
      </c>
      <c r="B1022" s="26" t="s">
        <v>564</v>
      </c>
      <c r="C1022" s="26" t="s">
        <v>3176</v>
      </c>
      <c r="D1022" s="279" t="s">
        <v>3177</v>
      </c>
      <c r="E1022" s="524" t="s">
        <v>3178</v>
      </c>
    </row>
    <row r="1023" spans="1:5">
      <c r="A1023" s="286" t="str">
        <f t="shared" si="16"/>
        <v>Salmonella serotype</v>
      </c>
      <c r="B1023" s="26" t="s">
        <v>3222</v>
      </c>
      <c r="C1023" s="26" t="s">
        <v>3223</v>
      </c>
      <c r="D1023" s="279" t="s">
        <v>3224</v>
      </c>
      <c r="E1023" s="524" t="s">
        <v>3225</v>
      </c>
    </row>
    <row r="1024" spans="1:5">
      <c r="A1024" s="286" t="str">
        <f t="shared" si="16"/>
        <v>Positive control is used</v>
      </c>
      <c r="B1024" s="26" t="s">
        <v>3167</v>
      </c>
      <c r="C1024" s="26" t="s">
        <v>3168</v>
      </c>
      <c r="D1024" s="279" t="s">
        <v>3169</v>
      </c>
      <c r="E1024" s="524" t="s">
        <v>3170</v>
      </c>
    </row>
    <row r="1025" spans="1:5">
      <c r="A1025" s="286" t="str">
        <f t="shared" si="16"/>
        <v>Negative control is used</v>
      </c>
      <c r="B1025" s="26" t="s">
        <v>3171</v>
      </c>
      <c r="C1025" s="26" t="s">
        <v>3172</v>
      </c>
      <c r="D1025" s="279" t="s">
        <v>3173</v>
      </c>
      <c r="E1025" s="524" t="s">
        <v>3174</v>
      </c>
    </row>
    <row r="1026" spans="1:5" ht="27.6">
      <c r="A1026" s="286" t="str">
        <f t="shared" si="16"/>
        <v>QC is performed on each new batch/lot number</v>
      </c>
      <c r="B1026" s="26" t="s">
        <v>560</v>
      </c>
      <c r="C1026" s="26" t="s">
        <v>3175</v>
      </c>
      <c r="D1026" s="164" t="s">
        <v>562</v>
      </c>
      <c r="E1026" s="524" t="s">
        <v>563</v>
      </c>
    </row>
    <row r="1027" spans="1:5" ht="27.6">
      <c r="A1027" s="286" t="str">
        <f t="shared" si="16"/>
        <v>QC is performed using ATCC or ATCC-derivative strains</v>
      </c>
      <c r="B1027" s="26" t="s">
        <v>564</v>
      </c>
      <c r="C1027" s="26" t="s">
        <v>3176</v>
      </c>
      <c r="D1027" s="279" t="s">
        <v>3177</v>
      </c>
      <c r="E1027" s="524" t="s">
        <v>3178</v>
      </c>
    </row>
    <row r="1028" spans="1:5" ht="41.4">
      <c r="A1028" s="286" t="str">
        <f t="shared" si="16"/>
        <v>QC OF COMMERCIAL ID KITS and AUTOMATED ID SYSTEMS</v>
      </c>
      <c r="B1028" s="26" t="s">
        <v>572</v>
      </c>
      <c r="C1028" s="26" t="s">
        <v>3226</v>
      </c>
      <c r="D1028" s="279" t="s">
        <v>574</v>
      </c>
      <c r="E1028" s="524" t="s">
        <v>3227</v>
      </c>
    </row>
    <row r="1029" spans="1:5" ht="55.2">
      <c r="A1029" s="286" t="str">
        <f t="shared" si="16"/>
        <v xml:space="preserve">Review QC records for commercial organism identification kits (e.g., API, Liofilchem, RapID) </v>
      </c>
      <c r="B1029" s="26" t="s">
        <v>3228</v>
      </c>
      <c r="C1029" s="26" t="s">
        <v>3229</v>
      </c>
      <c r="D1029" s="279" t="s">
        <v>3230</v>
      </c>
      <c r="E1029" s="524" t="s">
        <v>3231</v>
      </c>
    </row>
    <row r="1030" spans="1:5" ht="41.4">
      <c r="A1030" s="286" t="str">
        <f t="shared" si="16"/>
        <v>Check NA if the lab does not use any commercial test kits for organism ID</v>
      </c>
      <c r="B1030" s="26" t="s">
        <v>3232</v>
      </c>
      <c r="C1030" s="26" t="s">
        <v>3233</v>
      </c>
      <c r="D1030" s="279" t="s">
        <v>3234</v>
      </c>
      <c r="E1030" s="524" t="s">
        <v>3235</v>
      </c>
    </row>
    <row r="1031" spans="1:5" ht="69">
      <c r="A1031" s="286" t="str">
        <f t="shared" si="16"/>
        <v xml:space="preserve">Is QC performed on every new lot number/shipment before kits are placed into use, according to manufacturer recommendations? </v>
      </c>
      <c r="B1031" s="26" t="s">
        <v>3236</v>
      </c>
      <c r="C1031" s="26" t="s">
        <v>3237</v>
      </c>
      <c r="D1031" s="164" t="s">
        <v>3238</v>
      </c>
      <c r="E1031" s="524" t="s">
        <v>3239</v>
      </c>
    </row>
    <row r="1032" spans="1:5" ht="27.6">
      <c r="A1032" s="286" t="str">
        <f t="shared" si="16"/>
        <v>Is QC performed using ATCC or ATCC-derivative strains?</v>
      </c>
      <c r="B1032" s="26" t="s">
        <v>3240</v>
      </c>
      <c r="C1032" s="26" t="s">
        <v>3241</v>
      </c>
      <c r="D1032" s="279" t="s">
        <v>3242</v>
      </c>
      <c r="E1032" s="524" t="s">
        <v>3243</v>
      </c>
    </row>
    <row r="1033" spans="1:5" ht="55.2">
      <c r="A1033" s="286" t="str">
        <f t="shared" si="16"/>
        <v>Following manufacturer instructions, are all of the recommended ATCC strains in use for the identification kits?</v>
      </c>
      <c r="B1033" s="26" t="s">
        <v>3244</v>
      </c>
      <c r="C1033" s="26" t="s">
        <v>3245</v>
      </c>
      <c r="D1033" s="164" t="s">
        <v>3246</v>
      </c>
      <c r="E1033" s="524" t="s">
        <v>3247</v>
      </c>
    </row>
    <row r="1034" spans="1:5" ht="69">
      <c r="A1034" s="286" t="str">
        <f t="shared" ref="A1034:A1097" si="17">IF(langue=1,B1034,IF(langue=2,C1034,IF(langue=3,D1034,IF(langue=4,E1034,F1034))))</f>
        <v>1: All recommended strains are used; 2: Some of the recommended strains are used; 3: None of the recommended reference strains are used; NA</v>
      </c>
      <c r="B1034" s="26" t="s">
        <v>3248</v>
      </c>
      <c r="C1034" s="26" t="s">
        <v>3249</v>
      </c>
      <c r="D1034" s="279" t="s">
        <v>3250</v>
      </c>
      <c r="E1034" s="524" t="s">
        <v>3251</v>
      </c>
    </row>
    <row r="1035" spans="1:5" ht="110.4">
      <c r="A1035" s="286" t="str">
        <f t="shared" si="17"/>
        <v>Review the QC records for the ID cards/trays used with automated ID instruments (e.g., Vitek, Phoenix, Microscan, etc.) Check NA if the lab does not use automated systems for organism ID</v>
      </c>
      <c r="B1035" s="26" t="s">
        <v>3252</v>
      </c>
      <c r="C1035" s="26" t="s">
        <v>3253</v>
      </c>
      <c r="D1035" s="164" t="s">
        <v>3254</v>
      </c>
      <c r="E1035" s="524" t="s">
        <v>3255</v>
      </c>
    </row>
    <row r="1036" spans="1:5" ht="55.2">
      <c r="A1036" s="286" t="str">
        <f t="shared" si="17"/>
        <v>Is QC performed on every new lot number/shipment of ID cards/trays before they are placed into use?</v>
      </c>
      <c r="B1036" s="26" t="s">
        <v>3256</v>
      </c>
      <c r="C1036" s="26" t="s">
        <v>3257</v>
      </c>
      <c r="D1036" s="164" t="s">
        <v>3258</v>
      </c>
      <c r="E1036" s="524" t="s">
        <v>3259</v>
      </c>
    </row>
    <row r="1037" spans="1:5" ht="27.6">
      <c r="A1037" s="286" t="str">
        <f t="shared" si="17"/>
        <v>Is QC performed using ATCC or ATCC-derivative strains?</v>
      </c>
      <c r="B1037" s="26" t="s">
        <v>3240</v>
      </c>
      <c r="C1037" s="26" t="s">
        <v>3241</v>
      </c>
      <c r="D1037" s="279" t="s">
        <v>3242</v>
      </c>
      <c r="E1037" s="524" t="s">
        <v>3243</v>
      </c>
    </row>
    <row r="1038" spans="1:5" ht="69">
      <c r="A1038" s="286" t="str">
        <f t="shared" si="17"/>
        <v>Following manufacturer instructions, are all of the recommended ATCC strains in use for the automated instrument ID cards/trays?</v>
      </c>
      <c r="B1038" s="26" t="s">
        <v>3260</v>
      </c>
      <c r="C1038" s="26" t="s">
        <v>3261</v>
      </c>
      <c r="D1038" s="164" t="s">
        <v>3262</v>
      </c>
      <c r="E1038" s="524" t="s">
        <v>3263</v>
      </c>
    </row>
    <row r="1039" spans="1:5" ht="69">
      <c r="A1039" s="286" t="str">
        <f t="shared" si="17"/>
        <v>1: All recommended strains are used; 2: Some of the recommended strains are used; 3: None of the recommended reference strains are used; NA</v>
      </c>
      <c r="B1039" s="26" t="s">
        <v>3248</v>
      </c>
      <c r="C1039" s="26" t="s">
        <v>3249</v>
      </c>
      <c r="D1039" s="279" t="s">
        <v>3264</v>
      </c>
      <c r="E1039" s="524" t="s">
        <v>3251</v>
      </c>
    </row>
    <row r="1040" spans="1:5" ht="27.6">
      <c r="A1040" s="286" t="str">
        <f t="shared" si="17"/>
        <v>7- QUALITY CONTROL - AST METHODS</v>
      </c>
      <c r="B1040" s="26" t="s">
        <v>3265</v>
      </c>
      <c r="C1040" s="26" t="s">
        <v>3266</v>
      </c>
      <c r="D1040" s="164" t="s">
        <v>3267</v>
      </c>
      <c r="E1040" s="524" t="s">
        <v>3268</v>
      </c>
    </row>
    <row r="1041" spans="1:5" ht="27.6">
      <c r="A1041" s="286" t="str">
        <f t="shared" si="17"/>
        <v>ROUTINE AST REFERENCE STRAINS</v>
      </c>
      <c r="B1041" s="26" t="s">
        <v>580</v>
      </c>
      <c r="C1041" s="26" t="s">
        <v>3269</v>
      </c>
      <c r="D1041" s="279" t="s">
        <v>582</v>
      </c>
      <c r="E1041" s="524" t="s">
        <v>3270</v>
      </c>
    </row>
    <row r="1042" spans="1:5" ht="41.4">
      <c r="A1042" s="286" t="str">
        <f t="shared" si="17"/>
        <v>Does the lab have the following ATCC reference strains in stock? (CIP equivalents are also shown)</v>
      </c>
      <c r="B1042" s="26" t="s">
        <v>3271</v>
      </c>
      <c r="C1042" s="26" t="s">
        <v>3272</v>
      </c>
      <c r="D1042" s="279" t="s">
        <v>3273</v>
      </c>
      <c r="E1042" s="524" t="s">
        <v>3274</v>
      </c>
    </row>
    <row r="1043" spans="1:5" ht="27.6">
      <c r="A1043" s="286" t="str">
        <f t="shared" si="17"/>
        <v>Staphylococcus aureus ATCC 25923/CIP 76.25 (If CLSI standard used)</v>
      </c>
      <c r="B1043" s="26" t="s">
        <v>3275</v>
      </c>
      <c r="C1043" s="26" t="s">
        <v>3276</v>
      </c>
      <c r="D1043" s="279" t="s">
        <v>3277</v>
      </c>
      <c r="E1043" s="524" t="s">
        <v>3278</v>
      </c>
    </row>
    <row r="1044" spans="1:5" ht="27.6">
      <c r="A1044" s="286" t="str">
        <f t="shared" si="17"/>
        <v>Staphylococcus aureus ATCC 29213/CIP 103429 (If EUCAST standard used)</v>
      </c>
      <c r="B1044" s="26" t="s">
        <v>3279</v>
      </c>
      <c r="C1044" s="26" t="s">
        <v>3280</v>
      </c>
      <c r="D1044" s="279" t="s">
        <v>3281</v>
      </c>
      <c r="E1044" s="524" t="s">
        <v>3282</v>
      </c>
    </row>
    <row r="1045" spans="1:5" ht="55.2">
      <c r="A1045" s="286" t="str">
        <f t="shared" si="17"/>
        <v>Enterococcus faecalis ATCC 29212/CIP 103214 (to assess suitability of MHA for trimethoprim-sulfonamide tests)</v>
      </c>
      <c r="B1045" s="26" t="s">
        <v>3283</v>
      </c>
      <c r="C1045" s="26" t="s">
        <v>3284</v>
      </c>
      <c r="D1045" s="279" t="s">
        <v>3285</v>
      </c>
      <c r="E1045" s="524" t="s">
        <v>3286</v>
      </c>
    </row>
    <row r="1046" spans="1:5">
      <c r="A1046" s="286" t="str">
        <f t="shared" si="17"/>
        <v>Streptococcus pneumoniae ATCC 49619</v>
      </c>
      <c r="B1046" s="26" t="s">
        <v>3287</v>
      </c>
      <c r="C1046" s="26" t="s">
        <v>3287</v>
      </c>
      <c r="D1046" s="279" t="s">
        <v>3287</v>
      </c>
      <c r="E1046" s="524" t="s">
        <v>3287</v>
      </c>
    </row>
    <row r="1047" spans="1:5">
      <c r="A1047" s="286" t="str">
        <f t="shared" si="17"/>
        <v>E. coli ATCC 25922/CIP 76.24</v>
      </c>
      <c r="B1047" s="26" t="s">
        <v>3288</v>
      </c>
      <c r="C1047" s="26" t="s">
        <v>3289</v>
      </c>
      <c r="D1047" s="279" t="s">
        <v>3289</v>
      </c>
      <c r="E1047" s="524" t="s">
        <v>3289</v>
      </c>
    </row>
    <row r="1048" spans="1:5" ht="27.6">
      <c r="A1048" s="286" t="str">
        <f t="shared" si="17"/>
        <v>Pseudomonas aeruginosa ATCC 27853/CIP 76.110</v>
      </c>
      <c r="B1048" s="26" t="s">
        <v>3290</v>
      </c>
      <c r="C1048" s="26" t="s">
        <v>3291</v>
      </c>
      <c r="D1048" s="279" t="s">
        <v>3291</v>
      </c>
      <c r="E1048" s="524" t="s">
        <v>3291</v>
      </c>
    </row>
    <row r="1049" spans="1:5" ht="27.6">
      <c r="A1049" s="286" t="str">
        <f t="shared" si="17"/>
        <v>Are reference strains stored as follows?</v>
      </c>
      <c r="B1049" s="26" t="s">
        <v>3292</v>
      </c>
      <c r="C1049" s="26" t="s">
        <v>3293</v>
      </c>
      <c r="D1049" s="279" t="s">
        <v>3294</v>
      </c>
      <c r="E1049" s="524" t="s">
        <v>3295</v>
      </c>
    </row>
    <row r="1050" spans="1:5" ht="41.4">
      <c r="A1050" s="286" t="str">
        <f t="shared" si="17"/>
        <v>Reference cultures (lyophilized state, from the manufacturer) maintained at &lt;-20°C</v>
      </c>
      <c r="B1050" s="26" t="s">
        <v>3296</v>
      </c>
      <c r="C1050" s="26" t="s">
        <v>3297</v>
      </c>
      <c r="D1050" s="279" t="s">
        <v>3298</v>
      </c>
      <c r="E1050" s="524" t="s">
        <v>3299</v>
      </c>
    </row>
    <row r="1051" spans="1:5" ht="110.4">
      <c r="A1051" s="286" t="str">
        <f t="shared" si="17"/>
        <v>Reference stock cultures (broth preparations of reference cultures) maintained at &lt;-20°C in a suitable stabilizer (10% -15% glycerol in tryptic soy broth, 50% fetal calf serum in broth, defibrinated sheep blood, or skim milk)</v>
      </c>
      <c r="B1051" s="26" t="s">
        <v>3300</v>
      </c>
      <c r="C1051" s="26" t="s">
        <v>3301</v>
      </c>
      <c r="D1051" s="279" t="s">
        <v>3302</v>
      </c>
      <c r="E1051" s="524" t="s">
        <v>3303</v>
      </c>
    </row>
    <row r="1052" spans="1:5" ht="41.4">
      <c r="A1052" s="286" t="str">
        <f t="shared" si="17"/>
        <v>Monthly working stock culture, or "F1", stored at 2-8°C for up to 4 weeks, then discarded</v>
      </c>
      <c r="B1052" s="26" t="s">
        <v>3304</v>
      </c>
      <c r="C1052" s="26" t="s">
        <v>3305</v>
      </c>
      <c r="D1052" s="279" t="s">
        <v>3306</v>
      </c>
      <c r="E1052" s="524" t="s">
        <v>3307</v>
      </c>
    </row>
    <row r="1053" spans="1:5" ht="55.2">
      <c r="A1053" s="286" t="str">
        <f t="shared" si="17"/>
        <v>Weekly working stock culture, or “F2”, stored at 2-8°C for up to 1 week, then discarded</v>
      </c>
      <c r="B1053" s="26" t="s">
        <v>3308</v>
      </c>
      <c r="C1053" s="26" t="s">
        <v>3309</v>
      </c>
      <c r="D1053" s="279" t="s">
        <v>3310</v>
      </c>
      <c r="E1053" s="524" t="s">
        <v>3311</v>
      </c>
    </row>
    <row r="1054" spans="1:5" ht="27.6">
      <c r="A1054" s="286" t="str">
        <f t="shared" si="17"/>
        <v>Daily subculture, or “F3”, discarded after one day of use.</v>
      </c>
      <c r="B1054" s="26" t="s">
        <v>3312</v>
      </c>
      <c r="C1054" s="26" t="s">
        <v>3313</v>
      </c>
      <c r="D1054" s="279" t="s">
        <v>3314</v>
      </c>
      <c r="E1054" s="524" t="s">
        <v>3315</v>
      </c>
    </row>
    <row r="1055" spans="1:5" ht="179.4">
      <c r="A1055" s="286" t="str">
        <f t="shared" si="17"/>
        <v>Standard: SANAS TG 28-02: 7.2.2 A reference culture is a microorganism preparation that is obtained from a culture type collection such as ATCC. A reference stock culture is a microorganism preparation derived from a reference culture. A working stock culture is growth derived from a reference stock culture. A subculture is the transfer of established microorganism growth on media to fresh media.</v>
      </c>
      <c r="B1055" s="26" t="s">
        <v>3316</v>
      </c>
      <c r="C1055" s="26" t="s">
        <v>3317</v>
      </c>
      <c r="D1055" s="279" t="s">
        <v>3318</v>
      </c>
      <c r="E1055" s="524" t="s">
        <v>3319</v>
      </c>
    </row>
    <row r="1056" spans="1:5" ht="27.6">
      <c r="A1056" s="286" t="str">
        <f t="shared" si="17"/>
        <v>SPECIAL AST REFERENCE STRAINS</v>
      </c>
      <c r="B1056" s="26" t="s">
        <v>584</v>
      </c>
      <c r="C1056" s="26" t="s">
        <v>3320</v>
      </c>
      <c r="D1056" s="164" t="s">
        <v>586</v>
      </c>
      <c r="E1056" s="524" t="s">
        <v>3321</v>
      </c>
    </row>
    <row r="1057" spans="1:5" ht="41.4">
      <c r="A1057" s="286" t="str">
        <f t="shared" si="17"/>
        <v>Does the lab have the following reference strains in stock? (CIP equivalents are also shown)</v>
      </c>
      <c r="B1057" s="26" t="s">
        <v>3322</v>
      </c>
      <c r="C1057" s="26" t="s">
        <v>3323</v>
      </c>
      <c r="D1057" s="279" t="s">
        <v>3324</v>
      </c>
      <c r="E1057" s="524" t="s">
        <v>3325</v>
      </c>
    </row>
    <row r="1058" spans="1:5" ht="27.6">
      <c r="A1058" s="286" t="str">
        <f t="shared" si="17"/>
        <v>Staphylococcus aureus ATCC 43300 (mecA-positive, MRSA)</v>
      </c>
      <c r="B1058" s="26" t="s">
        <v>3326</v>
      </c>
      <c r="C1058" s="26" t="s">
        <v>3327</v>
      </c>
      <c r="D1058" s="279" t="s">
        <v>3328</v>
      </c>
      <c r="E1058" s="524" t="s">
        <v>3329</v>
      </c>
    </row>
    <row r="1059" spans="1:5" ht="27.6">
      <c r="A1059" s="286" t="str">
        <f t="shared" si="17"/>
        <v>Staphylococcus aureus ATCC BAA-976 (msrA-positive, Dzone negative)</v>
      </c>
      <c r="B1059" s="26" t="s">
        <v>3330</v>
      </c>
      <c r="C1059" s="26" t="s">
        <v>3331</v>
      </c>
      <c r="D1059" s="279" t="s">
        <v>3332</v>
      </c>
      <c r="E1059" s="524" t="s">
        <v>3332</v>
      </c>
    </row>
    <row r="1060" spans="1:5" ht="27.6">
      <c r="A1060" s="286" t="str">
        <f t="shared" si="17"/>
        <v>Staphylococcus aureus ATCC BAA-977 (ermA-positive, Dzone positive)</v>
      </c>
      <c r="B1060" s="26" t="s">
        <v>3333</v>
      </c>
      <c r="C1060" s="26" t="s">
        <v>3334</v>
      </c>
      <c r="D1060" s="279" t="s">
        <v>3335</v>
      </c>
      <c r="E1060" s="524" t="s">
        <v>3335</v>
      </c>
    </row>
    <row r="1061" spans="1:5" ht="27.6">
      <c r="A1061" s="286" t="str">
        <f t="shared" si="17"/>
        <v>Enterococcus faecalis ATCC 51299/CIP 104676 (vanB-positive, VRE)</v>
      </c>
      <c r="B1061" s="26" t="s">
        <v>3336</v>
      </c>
      <c r="C1061" s="26" t="s">
        <v>3337</v>
      </c>
      <c r="D1061" s="279" t="s">
        <v>3338</v>
      </c>
      <c r="E1061" s="524" t="s">
        <v>3338</v>
      </c>
    </row>
    <row r="1062" spans="1:5" ht="27.6">
      <c r="A1062" s="286" t="str">
        <f t="shared" si="17"/>
        <v>E.coli ATCC 13353 (CTX-M-15 ESBL-positive)</v>
      </c>
      <c r="B1062" s="26" t="s">
        <v>3339</v>
      </c>
      <c r="C1062" s="26" t="s">
        <v>3340</v>
      </c>
      <c r="D1062" s="279" t="s">
        <v>3341</v>
      </c>
      <c r="E1062" s="524" t="s">
        <v>3341</v>
      </c>
    </row>
    <row r="1063" spans="1:5">
      <c r="A1063" s="286" t="str">
        <f t="shared" si="17"/>
        <v>E.coli ATCC 35218 (TEM-1 positive)</v>
      </c>
      <c r="B1063" s="26" t="s">
        <v>3342</v>
      </c>
      <c r="C1063" s="26" t="s">
        <v>3343</v>
      </c>
      <c r="D1063" s="279" t="s">
        <v>3344</v>
      </c>
      <c r="E1063" s="524" t="s">
        <v>3344</v>
      </c>
    </row>
    <row r="1064" spans="1:5" ht="27.6">
      <c r="A1064" s="286" t="str">
        <f t="shared" si="17"/>
        <v>Klebsiella pneumoniae ATCC 700603 (SHV-18, OXA-2) ESBL test QC</v>
      </c>
      <c r="B1064" s="26" t="s">
        <v>3345</v>
      </c>
      <c r="C1064" s="26" t="s">
        <v>3346</v>
      </c>
      <c r="D1064" s="164" t="s">
        <v>3347</v>
      </c>
      <c r="E1064" s="524" t="s">
        <v>3348</v>
      </c>
    </row>
    <row r="1065" spans="1:5" ht="41.4">
      <c r="A1065" s="286" t="str">
        <f t="shared" si="17"/>
        <v>Klebsiella pneumoniae ATCC BAA-1705 (TEM, SHV, KPC-2) carbapenemase test QC</v>
      </c>
      <c r="B1065" s="26" t="s">
        <v>3349</v>
      </c>
      <c r="C1065" s="26" t="s">
        <v>3350</v>
      </c>
      <c r="D1065" s="164" t="s">
        <v>3351</v>
      </c>
      <c r="E1065" s="524" t="s">
        <v>3352</v>
      </c>
    </row>
    <row r="1066" spans="1:5" ht="41.4">
      <c r="A1066" s="286" t="str">
        <f t="shared" si="17"/>
        <v>Klebsiella pneumoniae ATCC BAA-1706 (Resistant to carbapenems by non-carbapenemase method)</v>
      </c>
      <c r="B1066" s="26" t="s">
        <v>3353</v>
      </c>
      <c r="C1066" s="26" t="s">
        <v>3354</v>
      </c>
      <c r="D1066" s="164" t="s">
        <v>3355</v>
      </c>
      <c r="E1066" s="524" t="s">
        <v>3356</v>
      </c>
    </row>
    <row r="1067" spans="1:5" ht="69">
      <c r="A1067" s="286" t="str">
        <f t="shared" si="17"/>
        <v>Some QC strains with plasmid-mediated resistance have been shown to lose the plasmid when stored at temperatures above -60°C</v>
      </c>
      <c r="B1067" s="26" t="s">
        <v>3357</v>
      </c>
      <c r="C1067" s="26" t="s">
        <v>3358</v>
      </c>
      <c r="D1067" s="279" t="s">
        <v>3359</v>
      </c>
      <c r="E1067" s="524" t="s">
        <v>3360</v>
      </c>
    </row>
    <row r="1068" spans="1:5" ht="41.4">
      <c r="A1068" s="286" t="str">
        <f t="shared" si="17"/>
        <v>Are these special AST reference strains maintained at &lt;-60°C?</v>
      </c>
      <c r="B1068" s="26" t="s">
        <v>3361</v>
      </c>
      <c r="C1068" s="26" t="s">
        <v>3362</v>
      </c>
      <c r="D1068" s="279" t="s">
        <v>3363</v>
      </c>
      <c r="E1068" s="524" t="s">
        <v>3364</v>
      </c>
    </row>
    <row r="1069" spans="1:5" ht="27.6">
      <c r="A1069" s="286" t="str">
        <f t="shared" si="17"/>
        <v>QC OF DISC DIFFUSION AST METHODS</v>
      </c>
      <c r="B1069" s="26" t="s">
        <v>588</v>
      </c>
      <c r="C1069" s="26" t="s">
        <v>3365</v>
      </c>
      <c r="D1069" s="164" t="s">
        <v>590</v>
      </c>
      <c r="E1069" s="524" t="s">
        <v>591</v>
      </c>
    </row>
    <row r="1070" spans="1:5" ht="27.6">
      <c r="A1070" s="286" t="str">
        <f t="shared" si="17"/>
        <v xml:space="preserve">Does the lab perform the disk diffusion method of AST? </v>
      </c>
      <c r="B1070" s="26" t="s">
        <v>3366</v>
      </c>
      <c r="C1070" s="26" t="s">
        <v>3367</v>
      </c>
      <c r="D1070" s="279" t="s">
        <v>3368</v>
      </c>
      <c r="E1070" s="524" t="s">
        <v>3369</v>
      </c>
    </row>
    <row r="1071" spans="1:5">
      <c r="A1071" s="286" t="str">
        <f t="shared" si="17"/>
        <v>If no, answer NA until 7.31</v>
      </c>
      <c r="B1071" s="26" t="s">
        <v>3370</v>
      </c>
      <c r="C1071" s="26" t="s">
        <v>3371</v>
      </c>
      <c r="D1071" s="279" t="s">
        <v>3372</v>
      </c>
      <c r="E1071" s="524" t="s">
        <v>3373</v>
      </c>
    </row>
    <row r="1072" spans="1:5" ht="69">
      <c r="A1072" s="286" t="str">
        <f t="shared" si="17"/>
        <v>Is antibiotic disk QC performed before placing newly received lot numbers/shipments into use? (Review QC records to confirm)</v>
      </c>
      <c r="B1072" s="26" t="s">
        <v>3374</v>
      </c>
      <c r="C1072" s="26" t="s">
        <v>3375</v>
      </c>
      <c r="D1072" s="164" t="s">
        <v>3376</v>
      </c>
      <c r="E1072" s="524" t="s">
        <v>3377</v>
      </c>
    </row>
    <row r="1073" spans="1:5" ht="69">
      <c r="A1073" s="286" t="str">
        <f t="shared" si="17"/>
        <v xml:space="preserve">CLSI and EUCAST require that all antibiotic QC is performed each day of patient testing, not only when a new lot number is received. </v>
      </c>
      <c r="B1073" s="26" t="s">
        <v>3378</v>
      </c>
      <c r="C1073" s="26" t="s">
        <v>3379</v>
      </c>
      <c r="D1073" s="164" t="s">
        <v>3380</v>
      </c>
      <c r="E1073" s="524" t="s">
        <v>3381</v>
      </c>
    </row>
    <row r="1074" spans="1:5" ht="124.2">
      <c r="A1074" s="286" t="str">
        <f t="shared" si="17"/>
        <v>Labs that wish to reduce the frequency of antibiotic QC from daily to weekly may do so after demonstrating satisfactory performance with daily QC using one of two plans described in CLSI M02, section 4.7. Either the 20-30 day plan, or the 15-replicate plan.</v>
      </c>
      <c r="B1074" s="26" t="s">
        <v>3382</v>
      </c>
      <c r="C1074" s="26" t="s">
        <v>3383</v>
      </c>
      <c r="D1074" s="279" t="s">
        <v>3384</v>
      </c>
      <c r="E1074" s="524" t="s">
        <v>3385</v>
      </c>
    </row>
    <row r="1075" spans="1:5" ht="82.8">
      <c r="A1075" s="286" t="str">
        <f t="shared" si="17"/>
        <v>Is there documentation showing that the lab has successfully completed either the 20-30 day plan or the 15-replicate (3- x 5-day) plan for all antibiotic disks in use? (Request to see)</v>
      </c>
      <c r="B1075" s="26" t="s">
        <v>3386</v>
      </c>
      <c r="C1075" s="26" t="s">
        <v>3387</v>
      </c>
      <c r="D1075" s="279" t="s">
        <v>3388</v>
      </c>
      <c r="E1075" s="524" t="s">
        <v>3389</v>
      </c>
    </row>
    <row r="1076" spans="1:5" ht="69">
      <c r="A1076" s="286" t="str">
        <f t="shared" si="17"/>
        <v>Not including new lot QC, how often is antibiotic disk QC performed? (Confirm by reviewing QC records; go back several months)</v>
      </c>
      <c r="B1076" s="26" t="s">
        <v>3390</v>
      </c>
      <c r="C1076" s="26" t="s">
        <v>3391</v>
      </c>
      <c r="D1076" s="164" t="s">
        <v>3392</v>
      </c>
      <c r="E1076" s="524" t="s">
        <v>3393</v>
      </c>
    </row>
    <row r="1077" spans="1:5" ht="82.8">
      <c r="A1077" s="286" t="str">
        <f t="shared" si="17"/>
        <v>1: Each day that disk AST is performed on patients – 2: Weekly – 3: Every other week – 4: Monthly - 5: Other (describe in comments) – NA: disk method not used</v>
      </c>
      <c r="B1077" s="26" t="s">
        <v>3394</v>
      </c>
      <c r="C1077" s="26" t="s">
        <v>3395</v>
      </c>
      <c r="D1077" s="164" t="s">
        <v>3396</v>
      </c>
      <c r="E1077" s="524" t="s">
        <v>3397</v>
      </c>
    </row>
    <row r="1078" spans="1:5" ht="69">
      <c r="A1078" s="286" t="str">
        <f t="shared" si="17"/>
        <v>Is antibiotic disk QC performed using the recommended ATCC reference strains below? (Review QC records to confirm)</v>
      </c>
      <c r="B1078" s="26" t="s">
        <v>3398</v>
      </c>
      <c r="C1078" s="26" t="s">
        <v>3399</v>
      </c>
      <c r="D1078" s="279" t="s">
        <v>3400</v>
      </c>
      <c r="E1078" s="524" t="s">
        <v>3401</v>
      </c>
    </row>
    <row r="1079" spans="1:5" ht="27.6">
      <c r="A1079" s="286" t="str">
        <f t="shared" si="17"/>
        <v>Staphylococcus aureus ATCC 25923/CIP 76.25 (If CLSI standard used)</v>
      </c>
      <c r="B1079" s="26" t="s">
        <v>3275</v>
      </c>
      <c r="C1079" s="26" t="s">
        <v>3276</v>
      </c>
      <c r="D1079" s="279" t="s">
        <v>3277</v>
      </c>
      <c r="E1079" s="524" t="s">
        <v>3402</v>
      </c>
    </row>
    <row r="1080" spans="1:5" ht="27.6">
      <c r="A1080" s="286" t="str">
        <f t="shared" si="17"/>
        <v>Staphylococcus aureus ATCC 29213/CIP 103429 (If EUCAST standard used)</v>
      </c>
      <c r="B1080" s="26" t="s">
        <v>3279</v>
      </c>
      <c r="C1080" s="26" t="s">
        <v>3280</v>
      </c>
      <c r="D1080" s="279" t="s">
        <v>3281</v>
      </c>
      <c r="E1080" s="524" t="s">
        <v>3403</v>
      </c>
    </row>
    <row r="1081" spans="1:5">
      <c r="A1081" s="286" t="str">
        <f t="shared" si="17"/>
        <v>E. coli ATCC 25922/CIP 76.24</v>
      </c>
      <c r="B1081" s="26" t="s">
        <v>3288</v>
      </c>
      <c r="C1081" s="26" t="s">
        <v>3289</v>
      </c>
      <c r="D1081" s="279" t="s">
        <v>3289</v>
      </c>
      <c r="E1081" s="524" t="s">
        <v>3289</v>
      </c>
    </row>
    <row r="1082" spans="1:5" ht="27.6">
      <c r="A1082" s="286" t="str">
        <f t="shared" si="17"/>
        <v>Pseudomonas aeruginosa ATCC 27853//CIP 76.110</v>
      </c>
      <c r="B1082" s="26" t="s">
        <v>3404</v>
      </c>
      <c r="C1082" s="26" t="s">
        <v>3405</v>
      </c>
      <c r="D1082" s="279" t="s">
        <v>3406</v>
      </c>
      <c r="E1082" s="524" t="s">
        <v>3407</v>
      </c>
    </row>
    <row r="1083" spans="1:5">
      <c r="A1083" s="286" t="str">
        <f t="shared" si="17"/>
        <v>Streptococcus pneumoniae ATCC 49619</v>
      </c>
      <c r="B1083" s="26" t="s">
        <v>3287</v>
      </c>
      <c r="C1083" s="26" t="s">
        <v>3287</v>
      </c>
      <c r="D1083" s="279" t="s">
        <v>3287</v>
      </c>
      <c r="E1083" s="524" t="s">
        <v>3287</v>
      </c>
    </row>
    <row r="1084" spans="1:5" ht="27.6">
      <c r="A1084" s="286" t="str">
        <f t="shared" si="17"/>
        <v>QC OF GRADIENT STRIP AST METHODS</v>
      </c>
      <c r="B1084" s="26" t="s">
        <v>592</v>
      </c>
      <c r="C1084" s="26" t="s">
        <v>3408</v>
      </c>
      <c r="D1084" s="279" t="s">
        <v>594</v>
      </c>
      <c r="E1084" s="524" t="s">
        <v>3409</v>
      </c>
    </row>
    <row r="1085" spans="1:5" ht="41.4">
      <c r="A1085" s="286" t="str">
        <f t="shared" si="17"/>
        <v>Does the lab use the gradient strip method of AST (Etest/Liofilechem)? (ungraded)</v>
      </c>
      <c r="B1085" s="26" t="s">
        <v>3410</v>
      </c>
      <c r="C1085" s="26" t="s">
        <v>3411</v>
      </c>
      <c r="D1085" s="164" t="s">
        <v>3412</v>
      </c>
      <c r="E1085" s="524" t="s">
        <v>3413</v>
      </c>
    </row>
    <row r="1086" spans="1:5">
      <c r="A1086" s="286" t="str">
        <f t="shared" si="17"/>
        <v>If no, answer NA until 7.40</v>
      </c>
      <c r="B1086" s="26" t="s">
        <v>3414</v>
      </c>
      <c r="C1086" s="26" t="s">
        <v>3415</v>
      </c>
      <c r="D1086" s="279" t="s">
        <v>3416</v>
      </c>
      <c r="E1086" s="524" t="s">
        <v>3417</v>
      </c>
    </row>
    <row r="1087" spans="1:5" ht="69">
      <c r="A1087" s="286" t="str">
        <f t="shared" si="17"/>
        <v>Is gradient strip QC performed before placing new lot numbers/shipments into use? (Review QC records to confirm)</v>
      </c>
      <c r="B1087" s="26" t="s">
        <v>3418</v>
      </c>
      <c r="C1087" s="26" t="s">
        <v>3419</v>
      </c>
      <c r="D1087" s="164" t="s">
        <v>3420</v>
      </c>
      <c r="E1087" s="524" t="s">
        <v>3421</v>
      </c>
    </row>
    <row r="1088" spans="1:5" ht="82.8">
      <c r="A1088" s="286" t="str">
        <f t="shared" si="17"/>
        <v>Is there documentation showing that the lab has successfully completed either the 20-30 day plan or the 15-replicate (3- x 5-day) plan for all antibiotic strips in use? (Request to see)</v>
      </c>
      <c r="B1088" s="26" t="s">
        <v>3422</v>
      </c>
      <c r="C1088" s="26" t="s">
        <v>3423</v>
      </c>
      <c r="D1088" s="164" t="s">
        <v>3424</v>
      </c>
      <c r="E1088" s="524" t="s">
        <v>3425</v>
      </c>
    </row>
    <row r="1089" spans="1:5" ht="69">
      <c r="A1089" s="286" t="str">
        <f t="shared" si="17"/>
        <v>Not including new lot QC, how often is antibiotic strip QC performed? (Confirm by reviewing QC records; go back several months)</v>
      </c>
      <c r="B1089" s="26" t="s">
        <v>3426</v>
      </c>
      <c r="C1089" s="26" t="s">
        <v>3427</v>
      </c>
      <c r="D1089" s="164" t="s">
        <v>3428</v>
      </c>
      <c r="E1089" s="524" t="s">
        <v>3429</v>
      </c>
    </row>
    <row r="1090" spans="1:5" ht="110.4">
      <c r="A1090" s="286" t="str">
        <f t="shared" si="17"/>
        <v>1: Each day that strip AST is performed on patients – 2: Weekly – 3: Every other week – 4: Monthly - 5: Other (describe in comments) – NA: strip method not used</v>
      </c>
      <c r="B1090" s="26" t="s">
        <v>3430</v>
      </c>
      <c r="C1090" s="26" t="s">
        <v>3431</v>
      </c>
      <c r="D1090" s="164" t="s">
        <v>3432</v>
      </c>
      <c r="E1090" s="524" t="s">
        <v>3433</v>
      </c>
    </row>
    <row r="1091" spans="1:5" ht="69">
      <c r="A1091" s="286" t="str">
        <f t="shared" si="17"/>
        <v>Is antibiotic strip QC performed using the recommended ATCC reference strains below? (Review QC records to confirm)</v>
      </c>
      <c r="B1091" s="26" t="s">
        <v>3434</v>
      </c>
      <c r="C1091" s="26" t="s">
        <v>3435</v>
      </c>
      <c r="D1091" s="279" t="s">
        <v>3436</v>
      </c>
      <c r="E1091" s="524" t="s">
        <v>3437</v>
      </c>
    </row>
    <row r="1092" spans="1:5" ht="27.6">
      <c r="A1092" s="286" t="str">
        <f t="shared" si="17"/>
        <v>Staphylococcus aureus ATCC 25923/CIP 76.25 (If CLSI standard used)</v>
      </c>
      <c r="B1092" s="26" t="s">
        <v>3275</v>
      </c>
      <c r="C1092" s="26" t="s">
        <v>3276</v>
      </c>
      <c r="D1092" s="279" t="s">
        <v>3277</v>
      </c>
      <c r="E1092" s="524" t="s">
        <v>3438</v>
      </c>
    </row>
    <row r="1093" spans="1:5" ht="27.6">
      <c r="A1093" s="286" t="str">
        <f t="shared" si="17"/>
        <v>Staphylococcus aureus ATCC 29213/CIP 103429 (If EUCAST standard used)</v>
      </c>
      <c r="B1093" s="26" t="s">
        <v>3279</v>
      </c>
      <c r="C1093" s="26" t="s">
        <v>3280</v>
      </c>
      <c r="D1093" s="279" t="s">
        <v>3281</v>
      </c>
      <c r="E1093" s="524" t="s">
        <v>3439</v>
      </c>
    </row>
    <row r="1094" spans="1:5">
      <c r="A1094" s="286" t="str">
        <f t="shared" si="17"/>
        <v>E. coli ATCC 25922/CIP 76.24</v>
      </c>
      <c r="B1094" s="26" t="s">
        <v>3288</v>
      </c>
      <c r="C1094" s="26" t="s">
        <v>3289</v>
      </c>
      <c r="D1094" s="279" t="s">
        <v>3289</v>
      </c>
      <c r="E1094" s="524" t="s">
        <v>3289</v>
      </c>
    </row>
    <row r="1095" spans="1:5" ht="27.6">
      <c r="A1095" s="286" t="str">
        <f t="shared" si="17"/>
        <v>Pseudomonas aeruginosa ATCC 27853//CIP 76.110</v>
      </c>
      <c r="B1095" s="26" t="s">
        <v>3404</v>
      </c>
      <c r="C1095" s="26" t="s">
        <v>3405</v>
      </c>
      <c r="D1095" s="279" t="s">
        <v>3406</v>
      </c>
      <c r="E1095" s="524" t="s">
        <v>3406</v>
      </c>
    </row>
    <row r="1096" spans="1:5">
      <c r="A1096" s="286" t="str">
        <f t="shared" si="17"/>
        <v>Streptococcus pneumoniae ATCC 49619</v>
      </c>
      <c r="B1096" s="26" t="s">
        <v>3287</v>
      </c>
      <c r="C1096" s="26" t="s">
        <v>3287</v>
      </c>
      <c r="D1096" s="279" t="s">
        <v>3287</v>
      </c>
      <c r="E1096" s="524" t="s">
        <v>3287</v>
      </c>
    </row>
    <row r="1097" spans="1:5" ht="27.6">
      <c r="A1097" s="286" t="str">
        <f t="shared" si="17"/>
        <v>QC OF AUTOMATED AST SYSTEMS</v>
      </c>
      <c r="B1097" s="26" t="s">
        <v>596</v>
      </c>
      <c r="C1097" s="26" t="s">
        <v>3440</v>
      </c>
      <c r="D1097" s="164" t="s">
        <v>598</v>
      </c>
      <c r="E1097" s="524" t="s">
        <v>3441</v>
      </c>
    </row>
    <row r="1098" spans="1:5" ht="41.4">
      <c r="A1098" s="286" t="str">
        <f t="shared" ref="A1098:A1161" si="18">IF(langue=1,B1098,IF(langue=2,C1098,IF(langue=3,D1098,IF(langue=4,E1098,F1098))))</f>
        <v>Does the lab use an automated instrument for AST? (e.g., Vitek, Phoenix, Microscan, etc)</v>
      </c>
      <c r="B1098" s="26" t="s">
        <v>3442</v>
      </c>
      <c r="C1098" s="26" t="s">
        <v>3443</v>
      </c>
      <c r="D1098" s="279" t="s">
        <v>3444</v>
      </c>
      <c r="E1098" s="524" t="s">
        <v>3445</v>
      </c>
    </row>
    <row r="1099" spans="1:5" ht="27.6">
      <c r="A1099" s="286" t="str">
        <f t="shared" si="18"/>
        <v>if No, answer NA until the end</v>
      </c>
      <c r="B1099" s="26" t="s">
        <v>3446</v>
      </c>
      <c r="C1099" s="26" t="s">
        <v>3447</v>
      </c>
      <c r="D1099" s="279" t="s">
        <v>3448</v>
      </c>
      <c r="E1099" s="524" t="s">
        <v>3449</v>
      </c>
    </row>
    <row r="1100" spans="1:5" ht="41.4">
      <c r="A1100" s="286" t="str">
        <f t="shared" si="18"/>
        <v>Are the antibiotic cards/trays stored at the manufacturer-recommended temperatures?</v>
      </c>
      <c r="B1100" s="26" t="s">
        <v>3450</v>
      </c>
      <c r="C1100" s="26" t="s">
        <v>3451</v>
      </c>
      <c r="D1100" s="164" t="s">
        <v>3452</v>
      </c>
      <c r="E1100" s="524" t="s">
        <v>3453</v>
      </c>
    </row>
    <row r="1101" spans="1:5" ht="69">
      <c r="A1101" s="286" t="str">
        <f t="shared" si="18"/>
        <v>Is QC of the antibiotic cards/trays performed before placing new lot numbers/shipments into use? (Review QC records to confirm)</v>
      </c>
      <c r="B1101" s="26" t="s">
        <v>3454</v>
      </c>
      <c r="C1101" s="26" t="s">
        <v>3455</v>
      </c>
      <c r="D1101" s="164" t="s">
        <v>3456</v>
      </c>
      <c r="E1101" s="524" t="s">
        <v>3457</v>
      </c>
    </row>
    <row r="1102" spans="1:5" ht="82.8">
      <c r="A1102" s="286" t="str">
        <f t="shared" si="18"/>
        <v>Is there documentation showing that the lab has successfully completed either the 20-30 day plan or the 15-replicate (3- x 5-day) plan for all antibiotic cards/trays in use? (Request to see)</v>
      </c>
      <c r="B1102" s="26" t="s">
        <v>3458</v>
      </c>
      <c r="C1102" s="26" t="s">
        <v>3459</v>
      </c>
      <c r="D1102" s="164" t="s">
        <v>3460</v>
      </c>
      <c r="E1102" s="524" t="s">
        <v>3461</v>
      </c>
    </row>
    <row r="1103" spans="1:5" ht="82.8">
      <c r="A1103" s="286" t="str">
        <f t="shared" si="18"/>
        <v>Not including new lot QC, how often is antibiotic card/tray QC performed? (Confirm by reviewing QC records; go back several months)</v>
      </c>
      <c r="B1103" s="26" t="s">
        <v>3462</v>
      </c>
      <c r="C1103" s="26" t="s">
        <v>3463</v>
      </c>
      <c r="D1103" s="164" t="s">
        <v>3464</v>
      </c>
      <c r="E1103" s="524" t="s">
        <v>3465</v>
      </c>
    </row>
    <row r="1104" spans="1:5" ht="96.6">
      <c r="A1104" s="286" t="str">
        <f t="shared" si="18"/>
        <v>1: Each day that automated AST is performed on patients – 2: Weekly – 3: Every other week – 4: Monthly - 5: Other (describe in comments) – NA: automated method not used</v>
      </c>
      <c r="B1104" s="26" t="s">
        <v>3466</v>
      </c>
      <c r="C1104" s="26" t="s">
        <v>3467</v>
      </c>
      <c r="D1104" s="279" t="s">
        <v>3468</v>
      </c>
      <c r="E1104" s="524" t="s">
        <v>3469</v>
      </c>
    </row>
    <row r="1105" spans="1:5" ht="69">
      <c r="A1105" s="286" t="str">
        <f t="shared" si="18"/>
        <v>Is QC of automated AST systems performed using the recommended ATCC reference strains below? (Review QC records to confirm)</v>
      </c>
      <c r="B1105" s="26" t="s">
        <v>3470</v>
      </c>
      <c r="C1105" s="26" t="s">
        <v>3471</v>
      </c>
      <c r="D1105" s="279" t="s">
        <v>3472</v>
      </c>
      <c r="E1105" s="524" t="s">
        <v>3473</v>
      </c>
    </row>
    <row r="1106" spans="1:5" ht="27.6">
      <c r="A1106" s="286" t="str">
        <f t="shared" si="18"/>
        <v>Staphylococcus aureus ATCC 25923/CIP 76.25 (If CLSI standard used)</v>
      </c>
      <c r="B1106" s="26" t="s">
        <v>3275</v>
      </c>
      <c r="C1106" s="26" t="s">
        <v>3276</v>
      </c>
      <c r="D1106" s="279" t="s">
        <v>3277</v>
      </c>
      <c r="E1106" s="524" t="s">
        <v>3474</v>
      </c>
    </row>
    <row r="1107" spans="1:5" ht="27.6">
      <c r="A1107" s="286" t="str">
        <f t="shared" si="18"/>
        <v>Staphylococcus aureus ATCC 29213/CIP 103429 (If EUCAST standard used)</v>
      </c>
      <c r="B1107" s="26" t="s">
        <v>3279</v>
      </c>
      <c r="C1107" s="26" t="s">
        <v>3280</v>
      </c>
      <c r="D1107" s="279" t="s">
        <v>3281</v>
      </c>
      <c r="E1107" s="524" t="s">
        <v>3475</v>
      </c>
    </row>
    <row r="1108" spans="1:5">
      <c r="A1108" s="286" t="str">
        <f t="shared" si="18"/>
        <v>E. coli ATCC 25922/CIP 76.24</v>
      </c>
      <c r="B1108" s="26" t="s">
        <v>3288</v>
      </c>
      <c r="C1108" s="26" t="s">
        <v>3289</v>
      </c>
      <c r="D1108" s="279" t="s">
        <v>3289</v>
      </c>
      <c r="E1108" s="524" t="s">
        <v>3289</v>
      </c>
    </row>
    <row r="1109" spans="1:5" ht="27.6">
      <c r="A1109" s="286" t="str">
        <f t="shared" si="18"/>
        <v>Pseudomonas aeruginosa ATCC 27853//CIP 76.110</v>
      </c>
      <c r="B1109" s="26" t="s">
        <v>3404</v>
      </c>
      <c r="C1109" s="26" t="s">
        <v>3405</v>
      </c>
      <c r="D1109" s="279" t="s">
        <v>3406</v>
      </c>
      <c r="E1109" s="524" t="s">
        <v>3406</v>
      </c>
    </row>
    <row r="1110" spans="1:5">
      <c r="A1110" s="286" t="str">
        <f t="shared" si="18"/>
        <v>Streptococcus pneumoniae ATCC 49619</v>
      </c>
      <c r="B1110" s="26" t="s">
        <v>3287</v>
      </c>
      <c r="C1110" s="26" t="s">
        <v>3287</v>
      </c>
      <c r="D1110" s="279" t="s">
        <v>3287</v>
      </c>
      <c r="E1110" s="524" t="s">
        <v>3287</v>
      </c>
    </row>
    <row r="1111" spans="1:5" ht="27.6">
      <c r="A1111" s="286" t="str">
        <f t="shared" si="18"/>
        <v>8- SPECIMEN COLLECTION, TRANSPORT &amp; MANAGEMENT</v>
      </c>
      <c r="B1111" s="26" t="s">
        <v>600</v>
      </c>
      <c r="C1111" s="26" t="s">
        <v>601</v>
      </c>
      <c r="D1111" s="279" t="s">
        <v>602</v>
      </c>
      <c r="E1111" s="524" t="s">
        <v>603</v>
      </c>
    </row>
    <row r="1112" spans="1:5" ht="55.2">
      <c r="A1112" s="286" t="str">
        <f t="shared" si="18"/>
        <v>Please note: all questions refer only to clinical patient specimens, NOT to research  or environmental specimens</v>
      </c>
      <c r="B1112" s="26" t="s">
        <v>3476</v>
      </c>
      <c r="C1112" s="26" t="s">
        <v>3477</v>
      </c>
      <c r="D1112" s="279" t="s">
        <v>3478</v>
      </c>
      <c r="E1112" s="524" t="s">
        <v>3479</v>
      </c>
    </row>
    <row r="1113" spans="1:5">
      <c r="A1113" s="286" t="str">
        <f t="shared" si="18"/>
        <v>SPECIMEN MANAGEMENT</v>
      </c>
      <c r="B1113" s="26" t="s">
        <v>604</v>
      </c>
      <c r="C1113" s="26" t="s">
        <v>605</v>
      </c>
      <c r="D1113" s="279" t="s">
        <v>606</v>
      </c>
      <c r="E1113" s="524" t="s">
        <v>607</v>
      </c>
    </row>
    <row r="1114" spans="1:5" ht="69">
      <c r="A1114" s="286" t="str">
        <f t="shared" si="18"/>
        <v>Does lab policy require that all specimens are accompanied by a laboratory-approved test requisition form?</v>
      </c>
      <c r="B1114" s="26" t="s">
        <v>3480</v>
      </c>
      <c r="C1114" s="26" t="s">
        <v>3481</v>
      </c>
      <c r="D1114" s="164" t="s">
        <v>3482</v>
      </c>
      <c r="E1114" s="524" t="s">
        <v>3483</v>
      </c>
    </row>
    <row r="1115" spans="1:5" ht="69">
      <c r="A1115" s="286" t="str">
        <f t="shared" si="18"/>
        <v>Does the lab enforce a two-identifier system? (e.g., both patient name and a numeric identifier must be present on the requisition and on the specimen).</v>
      </c>
      <c r="B1115" s="26" t="s">
        <v>3484</v>
      </c>
      <c r="C1115" s="26" t="s">
        <v>3485</v>
      </c>
      <c r="D1115" s="279" t="s">
        <v>3486</v>
      </c>
      <c r="E1115" s="524" t="s">
        <v>3487</v>
      </c>
    </row>
    <row r="1116" spans="1:5" ht="41.4">
      <c r="A1116" s="286" t="str">
        <f t="shared" si="18"/>
        <v>Are sensitive specimens processed within one hour of reaching the laboratory?</v>
      </c>
      <c r="B1116" s="26" t="s">
        <v>3488</v>
      </c>
      <c r="C1116" s="26" t="s">
        <v>3489</v>
      </c>
      <c r="D1116" s="164" t="s">
        <v>3490</v>
      </c>
      <c r="E1116" s="524" t="s">
        <v>3491</v>
      </c>
    </row>
    <row r="1117" spans="1:5" ht="96.6">
      <c r="A1117" s="286" t="str">
        <f t="shared" si="18"/>
        <v>When the bacteriology lab is closed, does another laboratory department process (culture) the specimens or ensure that they are stored at the proper temperatures? (Select NA if bacteriology lab does not close)</v>
      </c>
      <c r="B1117" s="26" t="s">
        <v>3492</v>
      </c>
      <c r="C1117" s="26" t="s">
        <v>3493</v>
      </c>
      <c r="D1117" s="279" t="s">
        <v>3494</v>
      </c>
      <c r="E1117" s="524" t="s">
        <v>3495</v>
      </c>
    </row>
    <row r="1118" spans="1:5" ht="41.4">
      <c r="A1118" s="286" t="str">
        <f t="shared" si="18"/>
        <v>Does the lab store specimens properly prior to and following testing?</v>
      </c>
      <c r="B1118" s="26" t="s">
        <v>3496</v>
      </c>
      <c r="C1118" s="26" t="s">
        <v>3497</v>
      </c>
      <c r="D1118" s="279" t="s">
        <v>3498</v>
      </c>
      <c r="E1118" s="524" t="s">
        <v>3499</v>
      </c>
    </row>
    <row r="1119" spans="1:5">
      <c r="A1119" s="286" t="str">
        <f t="shared" si="18"/>
        <v>Blood culture</v>
      </c>
      <c r="B1119" s="26" t="s">
        <v>2673</v>
      </c>
      <c r="C1119" s="26" t="s">
        <v>160</v>
      </c>
      <c r="D1119" s="279" t="s">
        <v>2675</v>
      </c>
      <c r="E1119" s="524" t="s">
        <v>162</v>
      </c>
    </row>
    <row r="1120" spans="1:5">
      <c r="A1120" s="286" t="str">
        <f t="shared" si="18"/>
        <v>Urine culture</v>
      </c>
      <c r="B1120" s="26" t="s">
        <v>2676</v>
      </c>
      <c r="C1120" s="26" t="s">
        <v>3500</v>
      </c>
      <c r="D1120" s="279" t="s">
        <v>2678</v>
      </c>
      <c r="E1120" s="524" t="s">
        <v>166</v>
      </c>
    </row>
    <row r="1121" spans="1:5">
      <c r="A1121" s="286" t="str">
        <f t="shared" si="18"/>
        <v>Stool culture</v>
      </c>
      <c r="B1121" s="26" t="s">
        <v>2679</v>
      </c>
      <c r="C1121" s="26" t="s">
        <v>2680</v>
      </c>
      <c r="D1121" s="279" t="s">
        <v>3501</v>
      </c>
      <c r="E1121" s="524" t="s">
        <v>170</v>
      </c>
    </row>
    <row r="1122" spans="1:5">
      <c r="A1122" s="286" t="str">
        <f t="shared" si="18"/>
        <v>Respiratory culture</v>
      </c>
      <c r="B1122" s="26" t="s">
        <v>3502</v>
      </c>
      <c r="C1122" s="26" t="s">
        <v>3503</v>
      </c>
      <c r="D1122" s="279" t="s">
        <v>3504</v>
      </c>
      <c r="E1122" s="524" t="s">
        <v>3505</v>
      </c>
    </row>
    <row r="1123" spans="1:5">
      <c r="A1123" s="286" t="str">
        <f t="shared" si="18"/>
        <v>Wound culture</v>
      </c>
      <c r="B1123" s="26" t="s">
        <v>2685</v>
      </c>
      <c r="C1123" s="26" t="s">
        <v>3506</v>
      </c>
      <c r="D1123" s="279" t="s">
        <v>2687</v>
      </c>
      <c r="E1123" s="524" t="s">
        <v>3507</v>
      </c>
    </row>
    <row r="1124" spans="1:5">
      <c r="A1124" s="286" t="str">
        <f t="shared" si="18"/>
        <v>Genital culture</v>
      </c>
      <c r="B1124" s="26" t="s">
        <v>3508</v>
      </c>
      <c r="C1124" s="26" t="s">
        <v>3509</v>
      </c>
      <c r="D1124" s="279" t="s">
        <v>3510</v>
      </c>
      <c r="E1124" s="524" t="s">
        <v>3511</v>
      </c>
    </row>
    <row r="1125" spans="1:5">
      <c r="A1125" s="286" t="str">
        <f t="shared" si="18"/>
        <v>Cerebrospinal fluid culture</v>
      </c>
      <c r="B1125" s="26" t="s">
        <v>3512</v>
      </c>
      <c r="C1125" s="26" t="s">
        <v>3513</v>
      </c>
      <c r="D1125" s="279" t="s">
        <v>3514</v>
      </c>
      <c r="E1125" s="524" t="s">
        <v>3515</v>
      </c>
    </row>
    <row r="1126" spans="1:5" ht="41.4">
      <c r="A1126" s="286" t="str">
        <f t="shared" si="18"/>
        <v>Sterile body fluid culture (pleural, pericardial, peritoneal, synovial)</v>
      </c>
      <c r="B1126" s="26" t="s">
        <v>3516</v>
      </c>
      <c r="C1126" s="26" t="s">
        <v>3517</v>
      </c>
      <c r="D1126" s="279" t="s">
        <v>3518</v>
      </c>
      <c r="E1126" s="524" t="s">
        <v>3519</v>
      </c>
    </row>
    <row r="1127" spans="1:5" ht="138">
      <c r="A1127" s="286" t="str">
        <f t="shared" si="18"/>
        <v>Standard: ISO 15189: 5.4.1, 5.4.5, 5.4.7, 5.4.8, 5.4.10, 5.4.11, 5.4.13 Standard: ISO 15189: 5.2.9, 5.4.14, 5.7.3 Specimens should be stored under the appropriate conditions to maintain the stability of the specimen. Specimens no longer required should be disposed of in a safe manner, according to biosafety regulations</v>
      </c>
      <c r="B1127" s="26" t="s">
        <v>3520</v>
      </c>
      <c r="C1127" s="26" t="s">
        <v>3521</v>
      </c>
      <c r="D1127" s="279" t="s">
        <v>3522</v>
      </c>
      <c r="E1127" s="524" t="s">
        <v>3523</v>
      </c>
    </row>
    <row r="1128" spans="1:5">
      <c r="A1128" s="286" t="str">
        <f t="shared" si="18"/>
        <v>SPECIMEN REJECTION</v>
      </c>
      <c r="B1128" s="26" t="s">
        <v>608</v>
      </c>
      <c r="C1128" s="26" t="s">
        <v>609</v>
      </c>
      <c r="D1128" s="279" t="s">
        <v>610</v>
      </c>
      <c r="E1128" s="524" t="s">
        <v>611</v>
      </c>
    </row>
    <row r="1129" spans="1:5" ht="55.2">
      <c r="A1129" s="286" t="str">
        <f t="shared" si="18"/>
        <v>Are rejection criteria written down in an SOP or bench aide for each specimen type?</v>
      </c>
      <c r="B1129" s="26" t="s">
        <v>3524</v>
      </c>
      <c r="C1129" s="26" t="s">
        <v>3525</v>
      </c>
      <c r="D1129" s="279" t="s">
        <v>3526</v>
      </c>
      <c r="E1129" s="524" t="s">
        <v>3527</v>
      </c>
    </row>
    <row r="1130" spans="1:5">
      <c r="A1130" s="286" t="str">
        <f t="shared" si="18"/>
        <v>Blood culture</v>
      </c>
      <c r="B1130" s="26" t="s">
        <v>2673</v>
      </c>
      <c r="C1130" s="26" t="s">
        <v>160</v>
      </c>
      <c r="D1130" s="279" t="s">
        <v>2675</v>
      </c>
      <c r="E1130" s="524" t="s">
        <v>162</v>
      </c>
    </row>
    <row r="1131" spans="1:5">
      <c r="A1131" s="286" t="str">
        <f t="shared" si="18"/>
        <v>Urine culture</v>
      </c>
      <c r="B1131" s="26" t="s">
        <v>2676</v>
      </c>
      <c r="C1131" s="26" t="s">
        <v>3500</v>
      </c>
      <c r="D1131" s="279" t="s">
        <v>2678</v>
      </c>
      <c r="E1131" s="524" t="s">
        <v>166</v>
      </c>
    </row>
    <row r="1132" spans="1:5">
      <c r="A1132" s="286" t="str">
        <f t="shared" si="18"/>
        <v>Stool culture</v>
      </c>
      <c r="B1132" s="26" t="s">
        <v>2679</v>
      </c>
      <c r="C1132" s="26" t="s">
        <v>2680</v>
      </c>
      <c r="D1132" s="279" t="s">
        <v>3501</v>
      </c>
      <c r="E1132" s="524" t="s">
        <v>170</v>
      </c>
    </row>
    <row r="1133" spans="1:5">
      <c r="A1133" s="286" t="str">
        <f t="shared" si="18"/>
        <v>Respiratory culture</v>
      </c>
      <c r="B1133" s="26" t="s">
        <v>3502</v>
      </c>
      <c r="C1133" s="26" t="s">
        <v>3503</v>
      </c>
      <c r="D1133" s="279" t="s">
        <v>3504</v>
      </c>
      <c r="E1133" s="524" t="s">
        <v>3505</v>
      </c>
    </row>
    <row r="1134" spans="1:5">
      <c r="A1134" s="286" t="str">
        <f t="shared" si="18"/>
        <v>Wound culture</v>
      </c>
      <c r="B1134" s="26" t="s">
        <v>2685</v>
      </c>
      <c r="C1134" s="26" t="s">
        <v>3506</v>
      </c>
      <c r="D1134" s="279" t="s">
        <v>2687</v>
      </c>
      <c r="E1134" s="524" t="s">
        <v>3507</v>
      </c>
    </row>
    <row r="1135" spans="1:5">
      <c r="A1135" s="286" t="str">
        <f t="shared" si="18"/>
        <v>Genital culture</v>
      </c>
      <c r="B1135" s="26" t="s">
        <v>3508</v>
      </c>
      <c r="C1135" s="26" t="s">
        <v>3509</v>
      </c>
      <c r="D1135" s="279" t="s">
        <v>3510</v>
      </c>
      <c r="E1135" s="524" t="s">
        <v>3511</v>
      </c>
    </row>
    <row r="1136" spans="1:5">
      <c r="A1136" s="286" t="str">
        <f t="shared" si="18"/>
        <v>Cerebrospinal fluid culture</v>
      </c>
      <c r="B1136" s="26" t="s">
        <v>3512</v>
      </c>
      <c r="C1136" s="26" t="s">
        <v>3513</v>
      </c>
      <c r="D1136" s="279" t="s">
        <v>3514</v>
      </c>
      <c r="E1136" s="524" t="s">
        <v>3515</v>
      </c>
    </row>
    <row r="1137" spans="1:5" ht="41.4">
      <c r="A1137" s="286" t="str">
        <f t="shared" si="18"/>
        <v>Sterile body fluid culture (pleural, pericardial, peritoneal, synovial)</v>
      </c>
      <c r="B1137" s="26" t="s">
        <v>3516</v>
      </c>
      <c r="C1137" s="26" t="s">
        <v>3517</v>
      </c>
      <c r="D1137" s="279" t="s">
        <v>3518</v>
      </c>
      <c r="E1137" s="524" t="s">
        <v>3519</v>
      </c>
    </row>
    <row r="1138" spans="1:5" ht="27.6">
      <c r="A1138" s="286" t="str">
        <f t="shared" si="18"/>
        <v>Are unlabeled specimens rejected?</v>
      </c>
      <c r="B1138" s="26" t="s">
        <v>3528</v>
      </c>
      <c r="C1138" s="26" t="s">
        <v>3529</v>
      </c>
      <c r="D1138" s="279" t="s">
        <v>3530</v>
      </c>
      <c r="E1138" s="524" t="s">
        <v>3531</v>
      </c>
    </row>
    <row r="1139" spans="1:5" ht="27.6">
      <c r="A1139" s="286" t="str">
        <f t="shared" si="18"/>
        <v>Are mislabeled specimens rejected?</v>
      </c>
      <c r="B1139" s="26" t="s">
        <v>3532</v>
      </c>
      <c r="C1139" s="26" t="s">
        <v>3533</v>
      </c>
      <c r="D1139" s="279" t="s">
        <v>3534</v>
      </c>
      <c r="E1139" s="524" t="s">
        <v>3535</v>
      </c>
    </row>
    <row r="1140" spans="1:5" ht="27.6">
      <c r="A1140" s="286" t="str">
        <f t="shared" si="18"/>
        <v>Are leaking specimens rejected?</v>
      </c>
      <c r="B1140" s="26" t="s">
        <v>3536</v>
      </c>
      <c r="C1140" s="26" t="s">
        <v>3537</v>
      </c>
      <c r="D1140" s="279" t="s">
        <v>3538</v>
      </c>
      <c r="E1140" s="524" t="s">
        <v>3539</v>
      </c>
    </row>
    <row r="1141" spans="1:5" ht="41.4">
      <c r="A1141" s="286" t="str">
        <f t="shared" si="18"/>
        <v>Are specimens rejected if not transported to the lab within established time limits?</v>
      </c>
      <c r="B1141" s="26" t="s">
        <v>3540</v>
      </c>
      <c r="C1141" s="26" t="s">
        <v>3541</v>
      </c>
      <c r="D1141" s="279" t="s">
        <v>3542</v>
      </c>
      <c r="E1141" s="524" t="s">
        <v>3543</v>
      </c>
    </row>
    <row r="1142" spans="1:5" ht="55.2">
      <c r="A1142" s="286" t="str">
        <f t="shared" si="18"/>
        <v>Are specimens rejected if there is evidence that they were not maintained in proper conditions during and prior to transport?</v>
      </c>
      <c r="B1142" s="26" t="s">
        <v>3544</v>
      </c>
      <c r="C1142" s="26" t="s">
        <v>3545</v>
      </c>
      <c r="D1142" s="279" t="s">
        <v>3546</v>
      </c>
      <c r="E1142" s="524" t="s">
        <v>3547</v>
      </c>
    </row>
    <row r="1143" spans="1:5" ht="41.4">
      <c r="A1143" s="286" t="str">
        <f t="shared" si="18"/>
        <v>Is there evidence that specimen rejection criteria are enforced (review rejection log)?</v>
      </c>
      <c r="B1143" s="26" t="s">
        <v>3548</v>
      </c>
      <c r="C1143" s="26" t="s">
        <v>3549</v>
      </c>
      <c r="D1143" s="279" t="s">
        <v>3550</v>
      </c>
      <c r="E1143" s="524" t="s">
        <v>3551</v>
      </c>
    </row>
    <row r="1144" spans="1:5" ht="41.4">
      <c r="A1144" s="286" t="str">
        <f t="shared" si="18"/>
        <v>Does the lab maintain quality indicators regarding the number of specimens rejected?</v>
      </c>
      <c r="B1144" s="26" t="s">
        <v>3552</v>
      </c>
      <c r="C1144" s="26" t="s">
        <v>3553</v>
      </c>
      <c r="D1144" s="279" t="s">
        <v>3554</v>
      </c>
      <c r="E1144" s="524" t="s">
        <v>3555</v>
      </c>
    </row>
    <row r="1145" spans="1:5" ht="69">
      <c r="A1145" s="286" t="str">
        <f t="shared" si="18"/>
        <v>When specimens are rejected, does the lab notify the ward or clinic immediately so that a new specimen may be collected?</v>
      </c>
      <c r="B1145" s="26" t="s">
        <v>3556</v>
      </c>
      <c r="C1145" s="26" t="s">
        <v>3557</v>
      </c>
      <c r="D1145" s="279" t="s">
        <v>3558</v>
      </c>
      <c r="E1145" s="524" t="s">
        <v>3559</v>
      </c>
    </row>
    <row r="1146" spans="1:5" ht="27.6">
      <c r="A1146" s="286" t="str">
        <f t="shared" si="18"/>
        <v>BLOOD SPECIMEN COLLECTION and TRANSPORT</v>
      </c>
      <c r="B1146" s="26" t="s">
        <v>612</v>
      </c>
      <c r="C1146" s="26" t="s">
        <v>613</v>
      </c>
      <c r="D1146" s="279" t="s">
        <v>614</v>
      </c>
      <c r="E1146" s="524" t="s">
        <v>615</v>
      </c>
    </row>
    <row r="1147" spans="1:5" ht="55.2">
      <c r="A1147" s="286" t="str">
        <f t="shared" si="18"/>
        <v>Does the lab provide blood culture specimen collection instructions/SOPs to patient sample collection areas?</v>
      </c>
      <c r="B1147" s="26" t="s">
        <v>3560</v>
      </c>
      <c r="C1147" s="26" t="s">
        <v>3561</v>
      </c>
      <c r="D1147" s="164" t="s">
        <v>3562</v>
      </c>
      <c r="E1147" s="524" t="s">
        <v>3563</v>
      </c>
    </row>
    <row r="1148" spans="1:5" ht="55.2">
      <c r="A1148" s="286" t="str">
        <f t="shared" si="18"/>
        <v>Does the lab (or other department) provide annual training to clinical staff on blood culture specimen collection?</v>
      </c>
      <c r="B1148" s="26" t="s">
        <v>3564</v>
      </c>
      <c r="C1148" s="26" t="s">
        <v>3565</v>
      </c>
      <c r="D1148" s="279" t="s">
        <v>3566</v>
      </c>
      <c r="E1148" s="524" t="s">
        <v>3567</v>
      </c>
    </row>
    <row r="1149" spans="1:5" ht="96.6">
      <c r="A1149" s="286" t="str">
        <f t="shared" si="18"/>
        <v>Review the blood culture specimen collection instructions. Does it address the following items? (If specimen collection instructions do not exist or are not available to review, answer "No" to each.)</v>
      </c>
      <c r="B1149" s="26" t="s">
        <v>3568</v>
      </c>
      <c r="C1149" s="26" t="s">
        <v>3569</v>
      </c>
      <c r="D1149" s="279" t="s">
        <v>3570</v>
      </c>
      <c r="E1149" s="524" t="s">
        <v>3571</v>
      </c>
    </row>
    <row r="1150" spans="1:5" ht="27.6">
      <c r="A1150" s="286" t="str">
        <f t="shared" si="18"/>
        <v>Collect prior to administering antibiotics to patient</v>
      </c>
      <c r="B1150" s="26" t="s">
        <v>3572</v>
      </c>
      <c r="C1150" s="26" t="s">
        <v>3573</v>
      </c>
      <c r="D1150" s="279" t="s">
        <v>3574</v>
      </c>
      <c r="E1150" s="524" t="s">
        <v>3575</v>
      </c>
    </row>
    <row r="1151" spans="1:5" ht="27.6">
      <c r="A1151" s="286" t="str">
        <f t="shared" si="18"/>
        <v>Antiseptic skin preparation and aseptic collection technique</v>
      </c>
      <c r="B1151" s="26" t="s">
        <v>3576</v>
      </c>
      <c r="C1151" s="26" t="s">
        <v>3577</v>
      </c>
      <c r="D1151" s="279" t="s">
        <v>3578</v>
      </c>
      <c r="E1151" s="524" t="s">
        <v>3579</v>
      </c>
    </row>
    <row r="1152" spans="1:5" ht="27.6">
      <c r="A1152" s="286" t="str">
        <f t="shared" si="18"/>
        <v>Antiseptic stopper preparation and aseptic inoculation of bottles</v>
      </c>
      <c r="B1152" s="26" t="s">
        <v>3580</v>
      </c>
      <c r="C1152" s="26" t="s">
        <v>3581</v>
      </c>
      <c r="D1152" s="279" t="s">
        <v>3582</v>
      </c>
      <c r="E1152" s="524" t="s">
        <v>3583</v>
      </c>
    </row>
    <row r="1153" spans="1:5" ht="27.6">
      <c r="A1153" s="286" t="str">
        <f t="shared" si="18"/>
        <v>Minimum volume for adults (typically 10-15mL per bottle)</v>
      </c>
      <c r="B1153" s="26" t="s">
        <v>3584</v>
      </c>
      <c r="C1153" s="26" t="s">
        <v>3585</v>
      </c>
      <c r="D1153" s="279" t="s">
        <v>3586</v>
      </c>
      <c r="E1153" s="524" t="s">
        <v>3587</v>
      </c>
    </row>
    <row r="1154" spans="1:5" ht="27.6">
      <c r="A1154" s="286" t="str">
        <f t="shared" si="18"/>
        <v>Minimum volume for children (typically 5-10mL per bottle)</v>
      </c>
      <c r="B1154" s="26" t="s">
        <v>3588</v>
      </c>
      <c r="C1154" s="26" t="s">
        <v>3589</v>
      </c>
      <c r="D1154" s="279" t="s">
        <v>3590</v>
      </c>
      <c r="E1154" s="524" t="s">
        <v>3591</v>
      </c>
    </row>
    <row r="1155" spans="1:5" ht="27.6">
      <c r="A1155" s="286" t="str">
        <f t="shared" si="18"/>
        <v>Minimum volume for neonates (typically 0.5-1mL per bottle)</v>
      </c>
      <c r="B1155" s="26" t="s">
        <v>3592</v>
      </c>
      <c r="C1155" s="26" t="s">
        <v>3593</v>
      </c>
      <c r="D1155" s="279" t="s">
        <v>3594</v>
      </c>
      <c r="E1155" s="524" t="s">
        <v>3595</v>
      </c>
    </row>
    <row r="1156" spans="1:5" ht="41.4">
      <c r="A1156" s="286" t="str">
        <f t="shared" si="18"/>
        <v>Does laboratory policy require that two "sets" of blood cultures are drawn?</v>
      </c>
      <c r="B1156" s="26" t="s">
        <v>3596</v>
      </c>
      <c r="C1156" s="26" t="s">
        <v>3597</v>
      </c>
      <c r="D1156" s="164" t="s">
        <v>3598</v>
      </c>
      <c r="E1156" s="524" t="s">
        <v>3599</v>
      </c>
    </row>
    <row r="1157" spans="1:5" ht="41.4">
      <c r="A1157" s="286" t="str">
        <f t="shared" si="18"/>
        <v>Does the policy specify that each blood culture should be obtained from a different venipuncture site?</v>
      </c>
      <c r="B1157" s="26" t="s">
        <v>3600</v>
      </c>
      <c r="C1157" s="26" t="s">
        <v>3601</v>
      </c>
      <c r="D1157" s="164" t="s">
        <v>3602</v>
      </c>
      <c r="E1157" s="524" t="s">
        <v>3603</v>
      </c>
    </row>
    <row r="1158" spans="1:5" ht="41.4">
      <c r="A1158" s="286" t="str">
        <f t="shared" si="18"/>
        <v>Proper bottle labeling (patient name, ID, date, time, venipuncture site)</v>
      </c>
      <c r="B1158" s="26" t="s">
        <v>3604</v>
      </c>
      <c r="C1158" s="26" t="s">
        <v>3605</v>
      </c>
      <c r="D1158" s="279" t="s">
        <v>3606</v>
      </c>
      <c r="E1158" s="524" t="s">
        <v>3607</v>
      </c>
    </row>
    <row r="1159" spans="1:5" ht="41.4">
      <c r="A1159" s="286" t="str">
        <f t="shared" si="18"/>
        <v>Transport bottles to the lab within 1 hour of collection</v>
      </c>
      <c r="B1159" s="26" t="s">
        <v>3608</v>
      </c>
      <c r="C1159" s="26" t="s">
        <v>3609</v>
      </c>
      <c r="D1159" s="164" t="s">
        <v>3610</v>
      </c>
      <c r="E1159" s="524" t="s">
        <v>3611</v>
      </c>
    </row>
    <row r="1160" spans="1:5" ht="69">
      <c r="A1160" s="286" t="str">
        <f t="shared" si="18"/>
        <v>If transport will be delayed, store bottles for automated systems at room temperature; store bottles for manual systems at 37°C.</v>
      </c>
      <c r="B1160" s="26" t="s">
        <v>3612</v>
      </c>
      <c r="C1160" s="26" t="s">
        <v>3613</v>
      </c>
      <c r="D1160" s="279" t="s">
        <v>3614</v>
      </c>
      <c r="E1160" s="524" t="s">
        <v>3615</v>
      </c>
    </row>
    <row r="1161" spans="1:5" ht="27.6">
      <c r="A1161" s="286" t="str">
        <f t="shared" si="18"/>
        <v>URINE SPECIMEN COLLECTION and TRANSPORT</v>
      </c>
      <c r="B1161" s="26" t="s">
        <v>616</v>
      </c>
      <c r="C1161" s="26" t="s">
        <v>3616</v>
      </c>
      <c r="D1161" s="279" t="s">
        <v>618</v>
      </c>
      <c r="E1161" s="524" t="s">
        <v>3617</v>
      </c>
    </row>
    <row r="1162" spans="1:5" ht="55.2">
      <c r="A1162" s="286" t="str">
        <f t="shared" ref="A1162:A1226" si="19">IF(langue=1,B1162,IF(langue=2,C1162,IF(langue=3,D1162,IF(langue=4,E1162,F1162))))</f>
        <v>Does the lab provide urine culture specimen collection instructions/SOPs to patient sample collection areas?</v>
      </c>
      <c r="B1162" s="26" t="s">
        <v>3618</v>
      </c>
      <c r="C1162" s="26" t="s">
        <v>3619</v>
      </c>
      <c r="D1162" s="279" t="s">
        <v>3620</v>
      </c>
      <c r="E1162" s="524" t="s">
        <v>3621</v>
      </c>
    </row>
    <row r="1163" spans="1:5" ht="55.2">
      <c r="A1163" s="286" t="str">
        <f t="shared" si="19"/>
        <v>Does the lab (or other department) provide annual refresher training to clinical staff on urine culture specimen collection?</v>
      </c>
      <c r="B1163" s="26" t="s">
        <v>3622</v>
      </c>
      <c r="C1163" s="26" t="s">
        <v>3623</v>
      </c>
      <c r="D1163" s="279" t="s">
        <v>3624</v>
      </c>
      <c r="E1163" s="524" t="s">
        <v>3625</v>
      </c>
    </row>
    <row r="1164" spans="1:5" ht="55.2">
      <c r="A1164" s="286" t="str">
        <f t="shared" si="19"/>
        <v>Review the urine culture specimen collection instructions. Does it address the following items?</v>
      </c>
      <c r="B1164" s="26" t="s">
        <v>3626</v>
      </c>
      <c r="C1164" s="26" t="s">
        <v>3627</v>
      </c>
      <c r="D1164" s="279" t="s">
        <v>3628</v>
      </c>
      <c r="E1164" s="524" t="s">
        <v>3629</v>
      </c>
    </row>
    <row r="1165" spans="1:5" ht="27.6">
      <c r="A1165" s="286" t="str">
        <f t="shared" si="19"/>
        <v>Antiseptic cleaning instructions for women, men and infants</v>
      </c>
      <c r="B1165" s="26" t="s">
        <v>3630</v>
      </c>
      <c r="C1165" s="26" t="s">
        <v>3631</v>
      </c>
      <c r="D1165" s="279" t="s">
        <v>3632</v>
      </c>
      <c r="E1165" s="524" t="s">
        <v>3633</v>
      </c>
    </row>
    <row r="1166" spans="1:5" ht="27.6">
      <c r="A1166" s="286" t="str">
        <f t="shared" si="19"/>
        <v>Mid-stream or "clean catch" instructions</v>
      </c>
      <c r="B1166" s="26" t="s">
        <v>3634</v>
      </c>
      <c r="C1166" s="26" t="s">
        <v>3635</v>
      </c>
      <c r="D1166" s="279" t="s">
        <v>3636</v>
      </c>
      <c r="E1166" s="524" t="s">
        <v>3637</v>
      </c>
    </row>
    <row r="1167" spans="1:5" ht="27.6">
      <c r="A1167" s="286" t="str">
        <f t="shared" si="19"/>
        <v>Sterile containers only</v>
      </c>
      <c r="B1167" s="26" t="s">
        <v>3638</v>
      </c>
      <c r="C1167" s="26" t="s">
        <v>3639</v>
      </c>
      <c r="D1167" s="279" t="s">
        <v>3640</v>
      </c>
      <c r="E1167" s="524" t="s">
        <v>3641</v>
      </c>
    </row>
    <row r="1168" spans="1:5">
      <c r="A1168" s="286" t="str">
        <f t="shared" si="19"/>
        <v>Minimum volume (typically 3mL)</v>
      </c>
      <c r="B1168" s="26" t="s">
        <v>3642</v>
      </c>
      <c r="C1168" s="26" t="s">
        <v>3643</v>
      </c>
      <c r="D1168" s="279" t="s">
        <v>3644</v>
      </c>
      <c r="E1168" s="524" t="s">
        <v>3645</v>
      </c>
    </row>
    <row r="1169" spans="1:5" ht="27.6">
      <c r="A1169" s="286" t="str">
        <f t="shared" si="19"/>
        <v>Proper labeling instructions</v>
      </c>
      <c r="B1169" s="26" t="s">
        <v>3646</v>
      </c>
      <c r="C1169" s="26" t="s">
        <v>3647</v>
      </c>
      <c r="D1169" s="279" t="s">
        <v>3648</v>
      </c>
      <c r="E1169" s="524" t="s">
        <v>3649</v>
      </c>
    </row>
    <row r="1170" spans="1:5" ht="41.4">
      <c r="A1170" s="286" t="str">
        <f t="shared" si="19"/>
        <v>Transport to lab at room temperature within 2 hours of collection</v>
      </c>
      <c r="B1170" s="26" t="s">
        <v>3650</v>
      </c>
      <c r="C1170" s="26" t="s">
        <v>3651</v>
      </c>
      <c r="D1170" s="164" t="s">
        <v>3652</v>
      </c>
      <c r="E1170" s="524" t="s">
        <v>3653</v>
      </c>
    </row>
    <row r="1171" spans="1:5" ht="27.6">
      <c r="A1171" s="286" t="str">
        <f t="shared" si="19"/>
        <v>If transport will be delayed, store refrigerated for up to 24 hours</v>
      </c>
      <c r="B1171" s="26" t="s">
        <v>3654</v>
      </c>
      <c r="C1171" s="26" t="s">
        <v>3655</v>
      </c>
      <c r="D1171" s="164" t="s">
        <v>3656</v>
      </c>
      <c r="E1171" s="524" t="s">
        <v>3657</v>
      </c>
    </row>
    <row r="1172" spans="1:5" ht="27.6">
      <c r="A1172" s="286" t="str">
        <f t="shared" si="19"/>
        <v>STOOL SPECIMEN COLLECTION and TRANSPORT</v>
      </c>
      <c r="B1172" s="26" t="s">
        <v>620</v>
      </c>
      <c r="C1172" s="26" t="s">
        <v>3658</v>
      </c>
      <c r="D1172" s="279" t="s">
        <v>622</v>
      </c>
      <c r="E1172" s="524" t="s">
        <v>3659</v>
      </c>
    </row>
    <row r="1173" spans="1:5" ht="55.2">
      <c r="A1173" s="286" t="str">
        <f t="shared" si="19"/>
        <v>Does the lab provide stool culture specimen collection instructions/SOPs to patient sample collection areas?</v>
      </c>
      <c r="B1173" s="26" t="s">
        <v>3660</v>
      </c>
      <c r="C1173" s="26" t="s">
        <v>3661</v>
      </c>
      <c r="D1173" s="279" t="s">
        <v>3662</v>
      </c>
      <c r="E1173" s="524" t="s">
        <v>3663</v>
      </c>
    </row>
    <row r="1174" spans="1:5" ht="55.2">
      <c r="A1174" s="286" t="str">
        <f t="shared" si="19"/>
        <v>Does the lab (or other department) provide annual refresher training to clinical staff on stool culture specimen collection?</v>
      </c>
      <c r="B1174" s="26" t="s">
        <v>3664</v>
      </c>
      <c r="C1174" s="26" t="s">
        <v>3665</v>
      </c>
      <c r="D1174" s="279" t="s">
        <v>3666</v>
      </c>
      <c r="E1174" s="524" t="s">
        <v>3667</v>
      </c>
    </row>
    <row r="1175" spans="1:5" ht="55.2">
      <c r="A1175" s="286" t="str">
        <f t="shared" si="19"/>
        <v>Review the stool culture specimen collection instructions. Does it address the following items?</v>
      </c>
      <c r="B1175" s="26" t="s">
        <v>3668</v>
      </c>
      <c r="C1175" s="26" t="s">
        <v>3669</v>
      </c>
      <c r="D1175" s="279" t="s">
        <v>3670</v>
      </c>
      <c r="E1175" s="524" t="s">
        <v>3671</v>
      </c>
    </row>
    <row r="1176" spans="1:5">
      <c r="A1176" s="286" t="str">
        <f t="shared" si="19"/>
        <v>Collection technique</v>
      </c>
      <c r="B1176" s="26" t="s">
        <v>3672</v>
      </c>
      <c r="C1176" s="26" t="s">
        <v>3673</v>
      </c>
      <c r="D1176" s="279" t="s">
        <v>3674</v>
      </c>
      <c r="E1176" s="524" t="s">
        <v>3675</v>
      </c>
    </row>
    <row r="1177" spans="1:5">
      <c r="A1177" s="286" t="str">
        <f t="shared" si="19"/>
        <v>Approved containers</v>
      </c>
      <c r="B1177" s="26" t="s">
        <v>3676</v>
      </c>
      <c r="C1177" s="26" t="s">
        <v>3677</v>
      </c>
      <c r="D1177" s="279" t="s">
        <v>3678</v>
      </c>
      <c r="E1177" s="524" t="s">
        <v>3679</v>
      </c>
    </row>
    <row r="1178" spans="1:5">
      <c r="A1178" s="286" t="str">
        <f t="shared" si="19"/>
        <v>Min/Max volume</v>
      </c>
      <c r="B1178" s="26" t="s">
        <v>3680</v>
      </c>
      <c r="C1178" s="26" t="s">
        <v>3681</v>
      </c>
      <c r="D1178" s="279" t="s">
        <v>3682</v>
      </c>
      <c r="E1178" s="524" t="s">
        <v>3681</v>
      </c>
    </row>
    <row r="1179" spans="1:5">
      <c r="A1179" s="286" t="str">
        <f t="shared" si="19"/>
        <v>Proper labeling</v>
      </c>
      <c r="B1179" s="26" t="s">
        <v>3683</v>
      </c>
      <c r="C1179" s="26" t="s">
        <v>3684</v>
      </c>
      <c r="D1179" s="279" t="s">
        <v>3685</v>
      </c>
      <c r="E1179" s="524" t="s">
        <v>3686</v>
      </c>
    </row>
    <row r="1180" spans="1:5" ht="41.4">
      <c r="A1180" s="286" t="str">
        <f t="shared" si="19"/>
        <v>Transport to the lab at room temperature within 2 hours</v>
      </c>
      <c r="B1180" s="26" t="s">
        <v>3687</v>
      </c>
      <c r="C1180" s="26" t="s">
        <v>3651</v>
      </c>
      <c r="D1180" s="279" t="s">
        <v>3688</v>
      </c>
      <c r="E1180" s="524" t="s">
        <v>3689</v>
      </c>
    </row>
    <row r="1181" spans="1:5" ht="55.2">
      <c r="A1181" s="286" t="str">
        <f t="shared" si="19"/>
        <v>If transport will be delayed, place specimen in an approved transport medium (such as Cary-Blair) for up to 24 hours</v>
      </c>
      <c r="B1181" s="26" t="s">
        <v>3690</v>
      </c>
      <c r="C1181" s="26" t="s">
        <v>3691</v>
      </c>
      <c r="D1181" s="279" t="s">
        <v>3692</v>
      </c>
      <c r="E1181" s="524" t="s">
        <v>3693</v>
      </c>
    </row>
    <row r="1182" spans="1:5" ht="69">
      <c r="A1182" s="286" t="str">
        <f t="shared" si="19"/>
        <v>If transport will be delayed, do not refrigerate stool since some pathogens, especially Shigella spp, will die at low temperatures</v>
      </c>
      <c r="B1182" s="26" t="s">
        <v>3694</v>
      </c>
      <c r="C1182" s="26" t="s">
        <v>3695</v>
      </c>
      <c r="D1182" s="279" t="s">
        <v>3696</v>
      </c>
      <c r="E1182" s="524" t="s">
        <v>3697</v>
      </c>
    </row>
    <row r="1183" spans="1:5">
      <c r="A1183" s="286" t="str">
        <f t="shared" si="19"/>
        <v>9- PROCESSING</v>
      </c>
      <c r="B1183" s="26" t="s">
        <v>624</v>
      </c>
      <c r="C1183" s="26" t="s">
        <v>3698</v>
      </c>
      <c r="D1183" s="279" t="s">
        <v>626</v>
      </c>
      <c r="E1183" s="524" t="s">
        <v>627</v>
      </c>
    </row>
    <row r="1184" spans="1:5" ht="55.2">
      <c r="A1184" s="286" t="str">
        <f t="shared" si="19"/>
        <v>Please note: all questions refer only to clinical patient specimens, NOT to research or environmental specimens</v>
      </c>
      <c r="B1184" s="26" t="s">
        <v>3699</v>
      </c>
      <c r="C1184" s="26" t="s">
        <v>3700</v>
      </c>
      <c r="D1184" s="279" t="s">
        <v>3478</v>
      </c>
      <c r="E1184" s="524" t="s">
        <v>3701</v>
      </c>
    </row>
    <row r="1185" spans="1:5">
      <c r="A1185" s="286" t="str">
        <f t="shared" si="19"/>
        <v>BLOOD CULTURE PROCESSING</v>
      </c>
      <c r="B1185" s="26" t="s">
        <v>628</v>
      </c>
      <c r="C1185" s="26" t="s">
        <v>629</v>
      </c>
      <c r="D1185" s="279" t="s">
        <v>3702</v>
      </c>
      <c r="E1185" s="524" t="s">
        <v>631</v>
      </c>
    </row>
    <row r="1186" spans="1:5" ht="27.6">
      <c r="A1186" s="286" t="str">
        <f t="shared" si="19"/>
        <v>Does the laboratory perform blood cultures?</v>
      </c>
      <c r="B1186" s="26" t="s">
        <v>3703</v>
      </c>
      <c r="C1186" s="388" t="s">
        <v>3704</v>
      </c>
      <c r="D1186" s="388" t="s">
        <v>3705</v>
      </c>
      <c r="E1186" s="529" t="s">
        <v>3706</v>
      </c>
    </row>
    <row r="1187" spans="1:5" ht="55.2">
      <c r="A1187" s="286" t="str">
        <f t="shared" si="19"/>
        <v>Does the laboratory have an SOP describing how to process blood for bacterial culture?</v>
      </c>
      <c r="B1187" s="26" t="s">
        <v>3707</v>
      </c>
      <c r="C1187" s="350" t="s">
        <v>3708</v>
      </c>
      <c r="D1187" s="279" t="s">
        <v>3709</v>
      </c>
      <c r="E1187" s="524" t="s">
        <v>3710</v>
      </c>
    </row>
    <row r="1188" spans="1:5" ht="69">
      <c r="A1188" s="286" t="str">
        <f t="shared" si="19"/>
        <v>When a blood culture bottle shows signs of positivity, (turbidity, hemolysis, or gas production), does the lab perform a Gram stain of the bottle broth?</v>
      </c>
      <c r="B1188" s="26" t="s">
        <v>3711</v>
      </c>
      <c r="C1188" s="26" t="s">
        <v>3712</v>
      </c>
      <c r="D1188" s="279" t="s">
        <v>3713</v>
      </c>
      <c r="E1188" s="524" t="s">
        <v>3714</v>
      </c>
    </row>
    <row r="1189" spans="1:5" ht="41.4">
      <c r="A1189" s="286" t="str">
        <f t="shared" si="19"/>
        <v>If the Gram stain from the bottle is positive, does the lab call the result to the physician immediately?</v>
      </c>
      <c r="B1189" s="26" t="s">
        <v>3715</v>
      </c>
      <c r="C1189" s="26" t="s">
        <v>3716</v>
      </c>
      <c r="D1189" s="279" t="s">
        <v>3717</v>
      </c>
      <c r="E1189" s="524" t="s">
        <v>3718</v>
      </c>
    </row>
    <row r="1190" spans="1:5" ht="69">
      <c r="A1190" s="286" t="str">
        <f t="shared" si="19"/>
        <v xml:space="preserve">When a positive blood culture broth is subcultured, is a chocolate plate included to ensure recovery of fastidious organisms? </v>
      </c>
      <c r="B1190" s="26" t="s">
        <v>3719</v>
      </c>
      <c r="C1190" s="26" t="s">
        <v>3720</v>
      </c>
      <c r="D1190" s="164" t="s">
        <v>3721</v>
      </c>
      <c r="E1190" s="524" t="s">
        <v>3722</v>
      </c>
    </row>
    <row r="1191" spans="1:5" ht="41.4">
      <c r="A1191" s="286" t="str">
        <f t="shared" si="19"/>
        <v>Does the lab inoculate more than one patient sample on the same petri dish?</v>
      </c>
      <c r="B1191" s="26" t="s">
        <v>3723</v>
      </c>
      <c r="C1191" s="26" t="s">
        <v>3724</v>
      </c>
      <c r="D1191" s="279" t="s">
        <v>3725</v>
      </c>
      <c r="E1191" s="524" t="s">
        <v>3726</v>
      </c>
    </row>
    <row r="1192" spans="1:5" ht="55.2">
      <c r="A1192" s="286" t="str">
        <f t="shared" si="19"/>
        <v xml:space="preserve">Does the SOP for blood cultures appropriately define which organisms are commonly considered contaminants? </v>
      </c>
      <c r="B1192" s="26" t="s">
        <v>3727</v>
      </c>
      <c r="C1192" s="26" t="s">
        <v>3728</v>
      </c>
      <c r="D1192" s="279" t="s">
        <v>3729</v>
      </c>
      <c r="E1192" s="524" t="s">
        <v>3730</v>
      </c>
    </row>
    <row r="1193" spans="1:5" ht="69">
      <c r="A1193" s="286" t="str">
        <f t="shared" si="19"/>
        <v>E.g.,  Corynebacterium spp., Propionibacterium spp., Micrococcus spp., viridans Strep spp., Bacillus spp., and coagulase-negative Staph spp. isolated from only one culture</v>
      </c>
      <c r="B1193" s="26" t="s">
        <v>3731</v>
      </c>
      <c r="C1193" s="26" t="s">
        <v>3732</v>
      </c>
      <c r="D1193" s="279" t="s">
        <v>3733</v>
      </c>
      <c r="E1193" s="524" t="s">
        <v>3734</v>
      </c>
    </row>
    <row r="1194" spans="1:5" ht="41.4">
      <c r="A1194" s="286" t="str">
        <f t="shared" si="19"/>
        <v>Does the lab perform AST on organisms that are possible contaminants?</v>
      </c>
      <c r="B1194" s="26" t="s">
        <v>3735</v>
      </c>
      <c r="C1194" s="26" t="s">
        <v>3736</v>
      </c>
      <c r="D1194" s="279" t="s">
        <v>3737</v>
      </c>
      <c r="E1194" s="524" t="s">
        <v>3738</v>
      </c>
    </row>
    <row r="1195" spans="1:5" ht="27.6">
      <c r="A1195" s="286" t="str">
        <f t="shared" si="19"/>
        <v>Which blood culture incubation systems does the lab use?</v>
      </c>
      <c r="B1195" s="26" t="s">
        <v>3739</v>
      </c>
      <c r="C1195" s="26" t="s">
        <v>3740</v>
      </c>
      <c r="D1195" s="279" t="s">
        <v>3741</v>
      </c>
      <c r="E1195" s="524" t="s">
        <v>3742</v>
      </c>
    </row>
    <row r="1196" spans="1:5" ht="41.4">
      <c r="A1196" s="286" t="str">
        <f t="shared" si="19"/>
        <v>1: Automated only; 2: Manual System only; 3: Both automated and manual systems</v>
      </c>
      <c r="B1196" s="26" t="s">
        <v>3743</v>
      </c>
      <c r="C1196" s="26" t="s">
        <v>3744</v>
      </c>
      <c r="D1196" s="279" t="s">
        <v>3745</v>
      </c>
      <c r="E1196" s="524" t="s">
        <v>3746</v>
      </c>
    </row>
    <row r="1197" spans="1:5">
      <c r="A1197" s="286" t="str">
        <f t="shared" si="19"/>
        <v>MANUAL BLOOD CULTURE SYSTEMS</v>
      </c>
      <c r="B1197" s="26" t="s">
        <v>632</v>
      </c>
      <c r="C1197" s="26" t="s">
        <v>3747</v>
      </c>
      <c r="D1197" s="279" t="s">
        <v>634</v>
      </c>
      <c r="E1197" s="524" t="s">
        <v>635</v>
      </c>
    </row>
    <row r="1198" spans="1:5" ht="69">
      <c r="A1198" s="286" t="str">
        <f t="shared" si="19"/>
        <v>Review the SOP for manual incubation of blood culture bottles. Does it include each of the following instructions? (If only automated systems are used, answer NA)</v>
      </c>
      <c r="B1198" s="26" t="s">
        <v>3748</v>
      </c>
      <c r="C1198" s="26" t="s">
        <v>3749</v>
      </c>
      <c r="D1198" s="279" t="s">
        <v>3750</v>
      </c>
      <c r="E1198" s="524" t="s">
        <v>3751</v>
      </c>
    </row>
    <row r="1199" spans="1:5" ht="55.2">
      <c r="A1199" s="286" t="str">
        <f t="shared" si="19"/>
        <v>On each day of incubation, visually examine all bottles for signs of positivity (turbidity, hemolysis, gas production)</v>
      </c>
      <c r="B1199" s="26" t="s">
        <v>3752</v>
      </c>
      <c r="C1199" s="26" t="s">
        <v>3753</v>
      </c>
      <c r="D1199" s="279" t="s">
        <v>3754</v>
      </c>
      <c r="E1199" s="524" t="s">
        <v>3755</v>
      </c>
    </row>
    <row r="1200" spans="1:5" ht="41.4">
      <c r="A1200" s="286" t="str">
        <f t="shared" si="19"/>
        <v xml:space="preserve">After 24 hours of incubation, subculture all bottles that appear negative  </v>
      </c>
      <c r="B1200" s="26" t="s">
        <v>3756</v>
      </c>
      <c r="C1200" s="26" t="s">
        <v>3757</v>
      </c>
      <c r="D1200" s="279" t="s">
        <v>3758</v>
      </c>
      <c r="E1200" s="524" t="s">
        <v>3759</v>
      </c>
    </row>
    <row r="1201" spans="1:5" ht="69">
      <c r="A1201" s="286" t="str">
        <f t="shared" si="19"/>
        <v>After 48 hours of incubation, subculture all bottles that appear negative again (if the first subculture was negative)</v>
      </c>
      <c r="B1201" s="26" t="s">
        <v>3760</v>
      </c>
      <c r="C1201" s="26" t="s">
        <v>3761</v>
      </c>
      <c r="D1201" s="279" t="s">
        <v>3762</v>
      </c>
      <c r="E1201" s="524" t="s">
        <v>3763</v>
      </c>
    </row>
    <row r="1202" spans="1:5" ht="69">
      <c r="A1202" s="286" t="str">
        <f t="shared" si="19"/>
        <v>Subculture bottles that appear negative to a chocolate agar plate (incubated in 5% CO2) to ensure recovery of fastidious organisms</v>
      </c>
      <c r="B1202" s="26" t="s">
        <v>3764</v>
      </c>
      <c r="C1202" s="26" t="s">
        <v>3765</v>
      </c>
      <c r="D1202" s="164" t="s">
        <v>3766</v>
      </c>
      <c r="E1202" s="524" t="s">
        <v>3767</v>
      </c>
    </row>
    <row r="1203" spans="1:5" ht="41.4">
      <c r="A1203" s="286" t="str">
        <f t="shared" si="19"/>
        <v>Incubate all bottles between 5 and 7 days before issuing a final negative report</v>
      </c>
      <c r="B1203" s="26" t="s">
        <v>3768</v>
      </c>
      <c r="C1203" s="26" t="s">
        <v>3769</v>
      </c>
      <c r="D1203" s="279" t="s">
        <v>3770</v>
      </c>
      <c r="E1203" s="524" t="s">
        <v>3771</v>
      </c>
    </row>
    <row r="1204" spans="1:5" ht="55.2">
      <c r="A1204" s="286" t="str">
        <f t="shared" si="19"/>
        <v>On the final day of incubation, perform a terminal subculture before the final negative report is issued</v>
      </c>
      <c r="B1204" s="26" t="s">
        <v>3772</v>
      </c>
      <c r="C1204" s="26" t="s">
        <v>3773</v>
      </c>
      <c r="D1204" s="279" t="s">
        <v>3774</v>
      </c>
      <c r="E1204" s="524" t="s">
        <v>3775</v>
      </c>
    </row>
    <row r="1205" spans="1:5">
      <c r="A1205" s="286" t="str">
        <f t="shared" si="19"/>
        <v>URINE CULTURE</v>
      </c>
      <c r="B1205" s="26" t="s">
        <v>636</v>
      </c>
      <c r="C1205" s="26" t="s">
        <v>3776</v>
      </c>
      <c r="D1205" s="279" t="s">
        <v>638</v>
      </c>
      <c r="E1205" s="524" t="s">
        <v>639</v>
      </c>
    </row>
    <row r="1206" spans="1:5" ht="27.6">
      <c r="A1206" s="286" t="str">
        <f t="shared" si="19"/>
        <v>Does the laboratory perform urine cultures?</v>
      </c>
      <c r="B1206" s="26" t="s">
        <v>3777</v>
      </c>
      <c r="C1206" s="388" t="s">
        <v>3778</v>
      </c>
      <c r="D1206" s="388" t="s">
        <v>3779</v>
      </c>
      <c r="E1206" s="529" t="s">
        <v>3780</v>
      </c>
    </row>
    <row r="1207" spans="1:5" ht="41.4">
      <c r="A1207" s="286" t="str">
        <f t="shared" si="19"/>
        <v>Does the laboratory have an SOP for how to process urine for bacterial culture? (request to see)</v>
      </c>
      <c r="B1207" s="26" t="s">
        <v>3781</v>
      </c>
      <c r="C1207" s="26" t="s">
        <v>3782</v>
      </c>
      <c r="D1207" s="279" t="s">
        <v>3783</v>
      </c>
      <c r="E1207" s="524" t="s">
        <v>3784</v>
      </c>
    </row>
    <row r="1208" spans="1:5" ht="41.4">
      <c r="A1208" s="286" t="str">
        <f t="shared" si="19"/>
        <v>According to the SOP, which media are used for primary culture of urine?</v>
      </c>
      <c r="B1208" s="26" t="s">
        <v>3785</v>
      </c>
      <c r="C1208" s="26" t="s">
        <v>3786</v>
      </c>
      <c r="D1208" s="279" t="s">
        <v>3787</v>
      </c>
      <c r="E1208" s="524" t="s">
        <v>3788</v>
      </c>
    </row>
    <row r="1209" spans="1:5" ht="41.4">
      <c r="A1209" s="286" t="str">
        <f t="shared" si="19"/>
        <v>1. Both blood agar and a selective gram-negative agar (e.g., MacConkey, EMB, CLED)</v>
      </c>
      <c r="B1209" s="26" t="s">
        <v>3789</v>
      </c>
      <c r="C1209" s="26" t="s">
        <v>3790</v>
      </c>
      <c r="D1209" s="279" t="s">
        <v>3791</v>
      </c>
      <c r="E1209" s="524" t="s">
        <v>3792</v>
      </c>
    </row>
    <row r="1210" spans="1:5" ht="27.6">
      <c r="A1210" s="286" t="str">
        <f t="shared" si="19"/>
        <v>2. Chromogenic agar designed for urine specimens</v>
      </c>
      <c r="B1210" s="26" t="s">
        <v>3793</v>
      </c>
      <c r="C1210" s="26" t="s">
        <v>3794</v>
      </c>
      <c r="D1210" s="279" t="s">
        <v>3795</v>
      </c>
      <c r="E1210" s="524" t="s">
        <v>3796</v>
      </c>
    </row>
    <row r="1211" spans="1:5">
      <c r="A1211" s="286" t="str">
        <f t="shared" si="19"/>
        <v>3. Blood agar only</v>
      </c>
      <c r="B1211" s="26" t="s">
        <v>3797</v>
      </c>
      <c r="C1211" s="26" t="s">
        <v>3798</v>
      </c>
      <c r="D1211" s="279" t="s">
        <v>3799</v>
      </c>
      <c r="E1211" s="524" t="s">
        <v>3800</v>
      </c>
    </row>
    <row r="1212" spans="1:5">
      <c r="A1212" s="286" t="str">
        <f t="shared" si="19"/>
        <v>4. Other, describe</v>
      </c>
      <c r="B1212" s="26" t="s">
        <v>3801</v>
      </c>
      <c r="C1212" s="26" t="s">
        <v>3802</v>
      </c>
      <c r="D1212" s="279" t="s">
        <v>3803</v>
      </c>
      <c r="E1212" s="524" t="s">
        <v>3804</v>
      </c>
    </row>
    <row r="1213" spans="1:5" ht="96.6">
      <c r="A1213" s="286" t="str">
        <f t="shared" si="19"/>
        <v>Standard: CAP MIC.22210; SANAS TR 34-04:3.2.1.2 Media and procedures must be used to ensure isolation and identification of common uropathogens such as Enterobacteriaceae, Enterococcus sp., and Staphylococcus sp.</v>
      </c>
      <c r="B1213" s="26" t="s">
        <v>3805</v>
      </c>
      <c r="C1213" s="26" t="s">
        <v>3806</v>
      </c>
      <c r="D1213" s="279" t="s">
        <v>3807</v>
      </c>
      <c r="E1213" s="524" t="s">
        <v>3808</v>
      </c>
    </row>
    <row r="1214" spans="1:5" ht="27.6">
      <c r="A1214" s="286" t="str">
        <f t="shared" si="19"/>
        <v xml:space="preserve">Are quantitative cultures (colony counts) performed? </v>
      </c>
      <c r="B1214" s="26" t="s">
        <v>3809</v>
      </c>
      <c r="C1214" s="26" t="s">
        <v>3810</v>
      </c>
      <c r="D1214" s="279" t="s">
        <v>3811</v>
      </c>
      <c r="E1214" s="524" t="s">
        <v>3812</v>
      </c>
    </row>
    <row r="1215" spans="1:5" ht="82.8">
      <c r="A1215" s="286" t="str">
        <f t="shared" si="19"/>
        <v>Standard: CAP MIC.22200; SANAS TR 34-04: 3.2.1.2 The minimal standards for evaluation of urine cultures should include an estimate of number of organisms, i.e., quantitative culture expressed as CFU/mL.</v>
      </c>
      <c r="B1215" s="26" t="s">
        <v>3813</v>
      </c>
      <c r="C1215" s="26" t="s">
        <v>3814</v>
      </c>
      <c r="D1215" s="279" t="s">
        <v>3815</v>
      </c>
      <c r="E1215" s="524" t="s">
        <v>3816</v>
      </c>
    </row>
    <row r="1216" spans="1:5" ht="27.6">
      <c r="A1216" s="286" t="str">
        <f t="shared" si="19"/>
        <v>Are urines plated using a calibrated loop?</v>
      </c>
      <c r="B1216" s="26" t="s">
        <v>3817</v>
      </c>
      <c r="C1216" s="26" t="s">
        <v>3818</v>
      </c>
      <c r="D1216" s="279" t="s">
        <v>3819</v>
      </c>
      <c r="E1216" s="524" t="s">
        <v>3820</v>
      </c>
    </row>
    <row r="1217" spans="1:5" ht="41.4">
      <c r="A1217" s="286" t="str">
        <f t="shared" si="19"/>
        <v>1: Yes, 1µL  – 2: Yes, 10uL - 3: No, calibrated loops are not used to plate urines</v>
      </c>
      <c r="B1217" s="26" t="s">
        <v>3821</v>
      </c>
      <c r="C1217" s="26" t="s">
        <v>3822</v>
      </c>
      <c r="D1217" s="279" t="s">
        <v>3823</v>
      </c>
      <c r="E1217" s="524" t="s">
        <v>3824</v>
      </c>
    </row>
    <row r="1218" spans="1:5" ht="41.4">
      <c r="A1218" s="286" t="str">
        <f t="shared" si="19"/>
        <v>Does the lab inoculate more than one patient sample on the same petri dish?</v>
      </c>
      <c r="B1218" s="26" t="s">
        <v>3723</v>
      </c>
      <c r="C1218" s="26" t="s">
        <v>3825</v>
      </c>
      <c r="D1218" s="279" t="s">
        <v>3826</v>
      </c>
      <c r="E1218" s="524" t="s">
        <v>3827</v>
      </c>
    </row>
    <row r="1219" spans="1:5" ht="96.6">
      <c r="A1219" s="286" t="str">
        <f t="shared" si="19"/>
        <v xml:space="preserve">Does the urine culture SOP provide guidance to the technologist in determining which organisms to “work up” (ID and AST) based on relative quantities, pathogenicity, and method of specimen collection? </v>
      </c>
      <c r="B1219" s="26" t="s">
        <v>3828</v>
      </c>
      <c r="C1219" s="26" t="s">
        <v>3829</v>
      </c>
      <c r="D1219" s="279" t="s">
        <v>3830</v>
      </c>
      <c r="E1219" s="524" t="s">
        <v>3831</v>
      </c>
    </row>
    <row r="1220" spans="1:5" ht="82.8">
      <c r="A1220" s="286" t="str">
        <f t="shared" si="19"/>
        <v xml:space="preserve">Have technologists been adequately trained to recognize a poorly collected urine specimen (predominance of fecal or skin flora) based on the relative quantities, types, and mix of organisms present? </v>
      </c>
      <c r="B1220" s="26" t="s">
        <v>3832</v>
      </c>
      <c r="C1220" s="26" t="s">
        <v>3833</v>
      </c>
      <c r="D1220" s="279" t="s">
        <v>3834</v>
      </c>
      <c r="E1220" s="524" t="s">
        <v>3835</v>
      </c>
    </row>
    <row r="1221" spans="1:5" ht="27.6">
      <c r="A1221" s="286" t="str">
        <f t="shared" si="19"/>
        <v>1: Yes - 2: Some, but would like additional training - 3: No</v>
      </c>
      <c r="B1221" s="26" t="s">
        <v>2710</v>
      </c>
      <c r="C1221" s="26" t="s">
        <v>2711</v>
      </c>
      <c r="D1221" s="279" t="s">
        <v>2712</v>
      </c>
      <c r="E1221" s="524" t="s">
        <v>2804</v>
      </c>
    </row>
    <row r="1222" spans="1:5" ht="27.6">
      <c r="A1222" s="286" t="str">
        <f t="shared" si="19"/>
        <v>STOOL CULTURES for Salmonella and Shigella</v>
      </c>
      <c r="B1222" s="26" t="s">
        <v>3836</v>
      </c>
      <c r="C1222" s="26" t="s">
        <v>3837</v>
      </c>
      <c r="D1222" s="279" t="s">
        <v>642</v>
      </c>
      <c r="E1222" s="524" t="s">
        <v>643</v>
      </c>
    </row>
    <row r="1223" spans="1:5" ht="27.6">
      <c r="A1223" s="286" t="str">
        <f t="shared" si="19"/>
        <v>Does the laboratory perform stool cultures?</v>
      </c>
      <c r="B1223" s="26" t="s">
        <v>3838</v>
      </c>
      <c r="C1223" s="26" t="s">
        <v>3839</v>
      </c>
      <c r="D1223" s="279" t="s">
        <v>3840</v>
      </c>
      <c r="E1223" s="524" t="s">
        <v>3841</v>
      </c>
    </row>
    <row r="1224" spans="1:5" ht="55.2">
      <c r="A1224" s="286" t="str">
        <f t="shared" si="19"/>
        <v>Does the laboratory have an SOP for how to process (plate) stool for bacterial culture? (request to see)</v>
      </c>
      <c r="B1224" s="26" t="s">
        <v>3842</v>
      </c>
      <c r="C1224" s="26" t="s">
        <v>3843</v>
      </c>
      <c r="D1224" s="279" t="s">
        <v>3844</v>
      </c>
      <c r="E1224" s="524" t="s">
        <v>3845</v>
      </c>
    </row>
    <row r="1225" spans="1:5" ht="41.4">
      <c r="A1225" s="286" t="str">
        <f t="shared" si="19"/>
        <v>Does the SOP describe how to identify potential pathogens on all primary media?</v>
      </c>
      <c r="B1225" s="26" t="s">
        <v>3846</v>
      </c>
      <c r="C1225" s="26" t="s">
        <v>3847</v>
      </c>
      <c r="D1225" s="279" t="s">
        <v>3848</v>
      </c>
      <c r="E1225" s="524" t="s">
        <v>3849</v>
      </c>
    </row>
    <row r="1226" spans="1:5" ht="82.8">
      <c r="A1226" s="286" t="str">
        <f t="shared" si="19"/>
        <v>The SOP should describe the colony appearance of potential pathogens on MAC other selective &amp; differential media used, and should define how to proceed when a potential pathogen is encountered</v>
      </c>
      <c r="B1226" s="26" t="s">
        <v>3850</v>
      </c>
      <c r="C1226" s="26" t="s">
        <v>3851</v>
      </c>
      <c r="D1226" s="279" t="s">
        <v>3852</v>
      </c>
      <c r="E1226" s="524" t="s">
        <v>3853</v>
      </c>
    </row>
    <row r="1227" spans="1:5" ht="27.6">
      <c r="A1227" s="286" t="str">
        <f t="shared" ref="A1227:A1266" si="20">IF(langue=1,B1227,IF(langue=2,C1227,IF(langue=3,D1227,IF(langue=4,E1227,F1227))))</f>
        <v>Which media are used for primary culture of stool?</v>
      </c>
      <c r="B1227" s="26" t="s">
        <v>3854</v>
      </c>
      <c r="C1227" s="26" t="s">
        <v>3855</v>
      </c>
      <c r="D1227" s="279" t="s">
        <v>3856</v>
      </c>
      <c r="E1227" s="524" t="s">
        <v>3857</v>
      </c>
    </row>
    <row r="1228" spans="1:5">
      <c r="A1228" s="286" t="str">
        <f t="shared" si="20"/>
        <v>Blood agar</v>
      </c>
      <c r="B1228" s="26" t="s">
        <v>3858</v>
      </c>
      <c r="C1228" s="26" t="s">
        <v>3859</v>
      </c>
      <c r="D1228" s="279" t="s">
        <v>3860</v>
      </c>
      <c r="E1228" s="524" t="s">
        <v>3861</v>
      </c>
    </row>
    <row r="1229" spans="1:5" ht="27.6">
      <c r="A1229" s="286" t="str">
        <f t="shared" si="20"/>
        <v>MacConkey or Eosin Methylene Blue agar</v>
      </c>
      <c r="B1229" s="26" t="s">
        <v>3862</v>
      </c>
      <c r="C1229" s="26" t="s">
        <v>3863</v>
      </c>
      <c r="D1229" s="279" t="s">
        <v>3864</v>
      </c>
      <c r="E1229" s="524" t="s">
        <v>3865</v>
      </c>
    </row>
    <row r="1230" spans="1:5" ht="82.8">
      <c r="A1230" s="286" t="str">
        <f t="shared" si="20"/>
        <v>Selective and differential screening agar for Salmonella and Shigella (e.g., Salmonella/Shigella agar, Hektoen Enteric agar, Xylose Lysine Deoxycholate agar, or Deoxycholate Citrate Agar)</v>
      </c>
      <c r="B1230" s="26" t="s">
        <v>3866</v>
      </c>
      <c r="C1230" s="26" t="s">
        <v>3867</v>
      </c>
      <c r="D1230" s="279" t="s">
        <v>3868</v>
      </c>
      <c r="E1230" s="524" t="s">
        <v>3869</v>
      </c>
    </row>
    <row r="1231" spans="1:5" ht="27.6">
      <c r="A1231" s="286" t="str">
        <f t="shared" si="20"/>
        <v>Selective enrichment broth (e.g., Selenite, GN, etc.)</v>
      </c>
      <c r="B1231" s="26" t="s">
        <v>3870</v>
      </c>
      <c r="C1231" s="26" t="s">
        <v>3871</v>
      </c>
      <c r="D1231" s="279" t="s">
        <v>3872</v>
      </c>
      <c r="E1231" s="524" t="s">
        <v>3873</v>
      </c>
    </row>
    <row r="1232" spans="1:5" ht="27.6">
      <c r="A1232" s="286" t="str">
        <f t="shared" si="20"/>
        <v>Other (describe in comments, not scored)</v>
      </c>
      <c r="B1232" s="26" t="s">
        <v>3874</v>
      </c>
      <c r="C1232" s="26" t="s">
        <v>3875</v>
      </c>
      <c r="D1232" s="279" t="s">
        <v>3876</v>
      </c>
      <c r="E1232" s="524" t="s">
        <v>3877</v>
      </c>
    </row>
    <row r="1233" spans="1:5" ht="41.4">
      <c r="A1233" s="286" t="str">
        <f t="shared" si="20"/>
        <v>Does the lab inoculate more than one patient sample on the same petri dish?</v>
      </c>
      <c r="B1233" s="26" t="s">
        <v>3723</v>
      </c>
      <c r="C1233" s="26" t="s">
        <v>3825</v>
      </c>
      <c r="D1233" s="279" t="s">
        <v>3826</v>
      </c>
      <c r="E1233" s="524" t="s">
        <v>3726</v>
      </c>
    </row>
    <row r="1234" spans="1:5" ht="41.4">
      <c r="A1234" s="286" t="str">
        <f t="shared" si="20"/>
        <v xml:space="preserve">Are the following pathogens routinely targeted in every stool culture submitted? </v>
      </c>
      <c r="B1234" s="26" t="s">
        <v>3878</v>
      </c>
      <c r="C1234" s="26" t="s">
        <v>3879</v>
      </c>
      <c r="D1234" s="279" t="s">
        <v>3880</v>
      </c>
      <c r="E1234" s="524" t="s">
        <v>3881</v>
      </c>
    </row>
    <row r="1235" spans="1:5">
      <c r="A1235" s="286" t="str">
        <f t="shared" si="20"/>
        <v>Salmonella spp.</v>
      </c>
      <c r="B1235" s="26" t="s">
        <v>3882</v>
      </c>
      <c r="C1235" s="26" t="s">
        <v>3882</v>
      </c>
      <c r="D1235" s="279" t="s">
        <v>3882</v>
      </c>
      <c r="E1235" s="524" t="s">
        <v>3882</v>
      </c>
    </row>
    <row r="1236" spans="1:5">
      <c r="A1236" s="286" t="str">
        <f t="shared" si="20"/>
        <v>Shigella spp.</v>
      </c>
      <c r="B1236" s="26" t="s">
        <v>3883</v>
      </c>
      <c r="C1236" s="26" t="s">
        <v>3883</v>
      </c>
      <c r="D1236" s="279" t="s">
        <v>3883</v>
      </c>
      <c r="E1236" s="524" t="s">
        <v>3883</v>
      </c>
    </row>
    <row r="1237" spans="1:5" ht="27.6">
      <c r="A1237" s="286" t="str">
        <f t="shared" si="20"/>
        <v>Other (describe in comments, not scored)</v>
      </c>
      <c r="B1237" s="26" t="s">
        <v>3874</v>
      </c>
      <c r="C1237" s="26" t="s">
        <v>3875</v>
      </c>
      <c r="D1237" s="279" t="s">
        <v>3876</v>
      </c>
      <c r="E1237" s="524" t="s">
        <v>3877</v>
      </c>
    </row>
    <row r="1238" spans="1:5" ht="41.4">
      <c r="A1238" s="286" t="str">
        <f t="shared" si="20"/>
        <v>10- IDENTIFICATION METHODS &amp; STANDARD OPERATING PROCEDURES</v>
      </c>
      <c r="B1238" s="26" t="s">
        <v>3884</v>
      </c>
      <c r="C1238" s="26" t="s">
        <v>3885</v>
      </c>
      <c r="D1238" s="279" t="s">
        <v>3886</v>
      </c>
      <c r="E1238" s="524" t="s">
        <v>3887</v>
      </c>
    </row>
    <row r="1239" spans="1:5" ht="55.2">
      <c r="A1239" s="286" t="str">
        <f t="shared" si="20"/>
        <v>Please note: all questions refer only to clinical patient isolates, NOT to research or environmental isolates</v>
      </c>
      <c r="B1239" s="26" t="s">
        <v>3888</v>
      </c>
      <c r="C1239" s="26" t="s">
        <v>3889</v>
      </c>
      <c r="D1239" s="279" t="s">
        <v>3890</v>
      </c>
      <c r="E1239" s="524" t="s">
        <v>3891</v>
      </c>
    </row>
    <row r="1240" spans="1:5" ht="41.4">
      <c r="A1240" s="286" t="str">
        <f t="shared" si="20"/>
        <v>CONVENTIONAL ID METHODS - SOP SCORE SUMMARY</v>
      </c>
      <c r="B1240" s="26" t="s">
        <v>648</v>
      </c>
      <c r="C1240" s="26" t="s">
        <v>3892</v>
      </c>
      <c r="D1240" s="164" t="s">
        <v>3893</v>
      </c>
      <c r="E1240" s="524" t="s">
        <v>3894</v>
      </c>
    </row>
    <row r="1241" spans="1:5" ht="41.4">
      <c r="A1241" s="286" t="str">
        <f t="shared" si="20"/>
        <v>Answer the questions below for each manual method/biochemical in use at the lab.</v>
      </c>
      <c r="B1241" s="26" t="s">
        <v>3895</v>
      </c>
      <c r="C1241" s="26" t="s">
        <v>3896</v>
      </c>
      <c r="D1241" s="279" t="s">
        <v>3897</v>
      </c>
      <c r="E1241" s="524" t="s">
        <v>3898</v>
      </c>
    </row>
    <row r="1242" spans="1:5" ht="138">
      <c r="A1242" s="286" t="str">
        <f t="shared" si="20"/>
        <v>*"Fully implemented" means that the SOP has been approved and signed by a lab supervisor or designee, and that laboratory staff have been trained on the contents and utilize the SOP. A SOP that is complete but has not been approved or is not in routine use is not considered fully implemented.</v>
      </c>
      <c r="B1242" s="26" t="s">
        <v>3899</v>
      </c>
      <c r="C1242" s="26" t="s">
        <v>3900</v>
      </c>
      <c r="D1242" s="164" t="s">
        <v>3901</v>
      </c>
      <c r="E1242" s="524" t="s">
        <v>3902</v>
      </c>
    </row>
    <row r="1243" spans="1:5" ht="124.2">
      <c r="A1243" s="286" t="str">
        <f t="shared" si="20"/>
        <v xml:space="preserve">**"Readily available" means that technologists can easily access the SOP at or near the bench, either in electronic or paper form, and that the information sought is easily located within the SOP, not buried in a larger document, and is written in a language that those using the SOP can read proficiently.  </v>
      </c>
      <c r="B1243" s="26" t="s">
        <v>3903</v>
      </c>
      <c r="C1243" s="26" t="s">
        <v>3904</v>
      </c>
      <c r="D1243" s="164" t="s">
        <v>3905</v>
      </c>
      <c r="E1243" s="524" t="s">
        <v>3906</v>
      </c>
    </row>
    <row r="1244" spans="1:5" ht="27.6">
      <c r="A1244" s="286" t="str">
        <f t="shared" si="20"/>
        <v>STAPHYLOCOCCUS AUREUS, KEY ID METHODS</v>
      </c>
      <c r="B1244" s="26" t="s">
        <v>672</v>
      </c>
      <c r="C1244" s="26" t="s">
        <v>3907</v>
      </c>
      <c r="D1244" s="279" t="s">
        <v>3908</v>
      </c>
      <c r="E1244" s="524" t="s">
        <v>675</v>
      </c>
    </row>
    <row r="1245" spans="1:5" ht="15">
      <c r="A1245" s="286" t="str">
        <f t="shared" si="20"/>
        <v>Catalase (H2O2)</v>
      </c>
      <c r="B1245" s="26" t="s">
        <v>3909</v>
      </c>
      <c r="C1245" s="26" t="s">
        <v>3909</v>
      </c>
      <c r="D1245" s="26" t="s">
        <v>3910</v>
      </c>
      <c r="E1245" s="524" t="s">
        <v>3909</v>
      </c>
    </row>
    <row r="1246" spans="1:5" ht="55.2">
      <c r="A1246" s="286" t="str">
        <f t="shared" si="20"/>
        <v>Is this reagent used to test patient isolates? (If No, select NA for the remaining questions about this reagent)</v>
      </c>
      <c r="B1246" s="26" t="s">
        <v>3911</v>
      </c>
      <c r="C1246" s="26" t="s">
        <v>3912</v>
      </c>
      <c r="D1246" s="279" t="s">
        <v>3913</v>
      </c>
      <c r="E1246" s="524" t="s">
        <v>3914</v>
      </c>
    </row>
    <row r="1247" spans="1:5" ht="69">
      <c r="A1247" s="286" t="str">
        <f t="shared" si="20"/>
        <v>Has an up-to-date SOP been fully implemented?* (If the reagent is in use but there is no SOP, answer "no" to all remaining questions about this reagent)</v>
      </c>
      <c r="B1247" s="26" t="s">
        <v>3915</v>
      </c>
      <c r="C1247" s="26" t="s">
        <v>3916</v>
      </c>
      <c r="D1247" s="279" t="s">
        <v>3917</v>
      </c>
      <c r="E1247" s="524" t="s">
        <v>3918</v>
      </c>
    </row>
    <row r="1248" spans="1:5" ht="27.6">
      <c r="A1248" s="286" t="str">
        <f t="shared" si="20"/>
        <v>Is the SOP readily available** to bench staff?</v>
      </c>
      <c r="B1248" s="26" t="s">
        <v>3919</v>
      </c>
      <c r="C1248" s="350" t="s">
        <v>3920</v>
      </c>
      <c r="D1248" s="164" t="s">
        <v>3921</v>
      </c>
      <c r="E1248" s="524" t="s">
        <v>3922</v>
      </c>
    </row>
    <row r="1249" spans="1:5" ht="55.2">
      <c r="A1249" s="286" t="str">
        <f t="shared" si="20"/>
        <v>Does the SOP define QC organisms, QC frequency, and expected QC results?</v>
      </c>
      <c r="B1249" s="26" t="s">
        <v>3923</v>
      </c>
      <c r="C1249" s="26" t="s">
        <v>3924</v>
      </c>
      <c r="D1249" s="279" t="s">
        <v>3925</v>
      </c>
      <c r="E1249" s="524" t="s">
        <v>3926</v>
      </c>
    </row>
    <row r="1250" spans="1:5" ht="41.4">
      <c r="A1250" s="286" t="str">
        <f t="shared" si="20"/>
        <v>Does the SOP provide stepwise instructions for how to perform the test correctly?</v>
      </c>
      <c r="B1250" s="26" t="s">
        <v>3927</v>
      </c>
      <c r="C1250" s="26" t="s">
        <v>3928</v>
      </c>
      <c r="D1250" s="279" t="s">
        <v>3929</v>
      </c>
      <c r="E1250" s="524" t="s">
        <v>3930</v>
      </c>
    </row>
    <row r="1251" spans="1:5" ht="41.4">
      <c r="A1251" s="286" t="str">
        <f t="shared" si="20"/>
        <v>Does the SOP provide stepwise instructions for interpreting the test result correctly?</v>
      </c>
      <c r="B1251" s="26" t="s">
        <v>3931</v>
      </c>
      <c r="C1251" s="26" t="s">
        <v>3932</v>
      </c>
      <c r="D1251" s="279" t="s">
        <v>3933</v>
      </c>
      <c r="E1251" s="524" t="s">
        <v>3934</v>
      </c>
    </row>
    <row r="1252" spans="1:5" ht="41.4">
      <c r="A1252" s="286" t="str">
        <f t="shared" si="20"/>
        <v>Is catalase testing performed prior to coagulase testing on suspected Staphylococcus isolates?</v>
      </c>
      <c r="B1252" s="26" t="s">
        <v>3935</v>
      </c>
      <c r="C1252" s="26" t="s">
        <v>3936</v>
      </c>
      <c r="D1252" s="279" t="s">
        <v>3937</v>
      </c>
      <c r="E1252" s="524" t="s">
        <v>3938</v>
      </c>
    </row>
    <row r="1253" spans="1:5">
      <c r="A1253" s="286" t="str">
        <f t="shared" si="20"/>
        <v>1: Always - 2:  Sometimes - 3: Never</v>
      </c>
      <c r="B1253" s="26" t="s">
        <v>3939</v>
      </c>
      <c r="C1253" s="26" t="s">
        <v>3940</v>
      </c>
      <c r="D1253" s="279" t="s">
        <v>3941</v>
      </c>
      <c r="E1253" s="524" t="s">
        <v>3942</v>
      </c>
    </row>
    <row r="1254" spans="1:5">
      <c r="A1254" s="286" t="str">
        <f t="shared" si="20"/>
        <v>Coagulase plasma</v>
      </c>
      <c r="B1254" s="26" t="s">
        <v>831</v>
      </c>
      <c r="C1254" s="26" t="s">
        <v>832</v>
      </c>
      <c r="D1254" s="279" t="s">
        <v>833</v>
      </c>
      <c r="E1254" s="524" t="s">
        <v>3179</v>
      </c>
    </row>
    <row r="1255" spans="1:5" ht="27.6">
      <c r="A1255" s="286" t="str">
        <f t="shared" si="20"/>
        <v>What is the source of the plasma used for coagulase testing?</v>
      </c>
      <c r="B1255" s="26" t="s">
        <v>3943</v>
      </c>
      <c r="C1255" s="26" t="s">
        <v>3944</v>
      </c>
      <c r="D1255" s="279" t="s">
        <v>3945</v>
      </c>
      <c r="E1255" s="524" t="s">
        <v>3946</v>
      </c>
    </row>
    <row r="1256" spans="1:5" ht="69">
      <c r="A1256" s="286" t="str">
        <f t="shared" si="20"/>
        <v xml:space="preserve">1: Commercially purchased rabbit plasma – 2: Locally bled rabbit – 3: Human plasma – 4: Other source (please describe in comments) </v>
      </c>
      <c r="B1256" s="26" t="s">
        <v>3947</v>
      </c>
      <c r="C1256" s="26" t="s">
        <v>3948</v>
      </c>
      <c r="D1256" s="279" t="s">
        <v>3949</v>
      </c>
      <c r="E1256" s="524" t="s">
        <v>3950</v>
      </c>
    </row>
    <row r="1257" spans="1:5" ht="55.2">
      <c r="A1257" s="286" t="str">
        <f t="shared" si="20"/>
        <v>Are negative slide coagulase results confirmed with a tube coagulase test before being reported?</v>
      </c>
      <c r="B1257" s="26" t="s">
        <v>3951</v>
      </c>
      <c r="C1257" s="26" t="s">
        <v>3952</v>
      </c>
      <c r="D1257" s="164" t="s">
        <v>3953</v>
      </c>
      <c r="E1257" s="524" t="s">
        <v>3954</v>
      </c>
    </row>
    <row r="1258" spans="1:5" ht="41.4">
      <c r="A1258" s="286" t="str">
        <f t="shared" si="20"/>
        <v>1: Always 2:  Sometimes 3: Never; NA, lab does not perform slide coagulase testing</v>
      </c>
      <c r="B1258" s="26" t="s">
        <v>3955</v>
      </c>
      <c r="C1258" s="26" t="s">
        <v>3956</v>
      </c>
      <c r="D1258" s="279" t="s">
        <v>3957</v>
      </c>
      <c r="E1258" s="524" t="s">
        <v>3958</v>
      </c>
    </row>
    <row r="1259" spans="1:5" ht="27.6">
      <c r="A1259" s="286" t="str">
        <f t="shared" si="20"/>
        <v>STAPHYLOCOCCUS AUREUS, OTHER ID METHODS</v>
      </c>
      <c r="B1259" s="26" t="s">
        <v>676</v>
      </c>
      <c r="C1259" s="26" t="s">
        <v>677</v>
      </c>
      <c r="D1259" s="279" t="s">
        <v>678</v>
      </c>
      <c r="E1259" s="524" t="s">
        <v>679</v>
      </c>
    </row>
    <row r="1260" spans="1:5">
      <c r="A1260" s="286" t="str">
        <f t="shared" si="20"/>
        <v>Staph latex agglutination</v>
      </c>
      <c r="B1260" s="26" t="s">
        <v>835</v>
      </c>
      <c r="C1260" s="26" t="s">
        <v>3959</v>
      </c>
      <c r="D1260" s="164" t="s">
        <v>837</v>
      </c>
      <c r="E1260" s="524" t="s">
        <v>838</v>
      </c>
    </row>
    <row r="1261" spans="1:5" ht="41.4">
      <c r="A1261" s="286" t="str">
        <f t="shared" si="20"/>
        <v>Are disposable reaction cards discarded after use (not reused)?</v>
      </c>
      <c r="B1261" s="26" t="s">
        <v>3960</v>
      </c>
      <c r="C1261" s="26" t="s">
        <v>3961</v>
      </c>
      <c r="D1261" s="164" t="s">
        <v>3962</v>
      </c>
      <c r="E1261" s="524" t="s">
        <v>3963</v>
      </c>
    </row>
    <row r="1262" spans="1:5" ht="55.2">
      <c r="A1262" s="286" t="str">
        <f t="shared" si="20"/>
        <v>1: Always - 2:  Sometimes - 3: No - NA, lab does not use latex agglutination to identify Staph</v>
      </c>
      <c r="B1262" s="26" t="s">
        <v>3964</v>
      </c>
      <c r="C1262" s="26" t="s">
        <v>3965</v>
      </c>
      <c r="D1262" s="279" t="s">
        <v>3966</v>
      </c>
      <c r="E1262" s="524" t="s">
        <v>3967</v>
      </c>
    </row>
    <row r="1263" spans="1:5" ht="27.6">
      <c r="A1263" s="286" t="str">
        <f t="shared" si="20"/>
        <v>Staph chromagar</v>
      </c>
      <c r="B1263" s="26" t="s">
        <v>839</v>
      </c>
      <c r="C1263" s="26" t="s">
        <v>3968</v>
      </c>
      <c r="D1263" s="279" t="s">
        <v>840</v>
      </c>
      <c r="E1263" s="524" t="s">
        <v>3969</v>
      </c>
    </row>
    <row r="1264" spans="1:5">
      <c r="A1264" s="286" t="str">
        <f t="shared" si="20"/>
        <v>DNase</v>
      </c>
      <c r="B1264" s="26" t="s">
        <v>842</v>
      </c>
      <c r="C1264" s="26" t="s">
        <v>842</v>
      </c>
      <c r="D1264" s="279" t="s">
        <v>843</v>
      </c>
      <c r="E1264" s="524" t="s">
        <v>842</v>
      </c>
    </row>
    <row r="1265" spans="1:5" ht="41.4">
      <c r="A1265" s="286" t="str">
        <f t="shared" si="20"/>
        <v>STREPTOCOCCUS PNEUMONIAE, CONVENTIONAL ID METHODS</v>
      </c>
      <c r="B1265" s="26" t="s">
        <v>680</v>
      </c>
      <c r="C1265" s="26" t="s">
        <v>681</v>
      </c>
      <c r="D1265" s="279" t="s">
        <v>3970</v>
      </c>
      <c r="E1265" s="524" t="s">
        <v>3971</v>
      </c>
    </row>
    <row r="1266" spans="1:5">
      <c r="A1266" s="286" t="str">
        <f t="shared" si="20"/>
        <v>PYR</v>
      </c>
      <c r="B1266" s="26" t="s">
        <v>844</v>
      </c>
      <c r="C1266" s="26" t="s">
        <v>844</v>
      </c>
      <c r="D1266" s="280" t="s">
        <v>845</v>
      </c>
      <c r="E1266" s="524" t="s">
        <v>844</v>
      </c>
    </row>
    <row r="1267" spans="1:5">
      <c r="A1267" s="286" t="str">
        <f t="shared" ref="A1267:A1282" si="21">IF(langue=1,B1267,IF(langue=2,C1267,IF(langue=3,D1267,IF(langue=4,E1267,F1267))))</f>
        <v>Bile solubility (deoxycholate)</v>
      </c>
      <c r="B1267" s="26" t="s">
        <v>850</v>
      </c>
      <c r="C1267" s="26" t="s">
        <v>851</v>
      </c>
      <c r="D1267" s="280" t="s">
        <v>852</v>
      </c>
      <c r="E1267" s="524" t="s">
        <v>853</v>
      </c>
    </row>
    <row r="1268" spans="1:5">
      <c r="A1268" s="286" t="str">
        <f t="shared" si="21"/>
        <v>Optochin (“P”) disk</v>
      </c>
      <c r="B1268" s="26" t="s">
        <v>3972</v>
      </c>
      <c r="C1268" s="26" t="s">
        <v>3973</v>
      </c>
      <c r="D1268" s="279" t="s">
        <v>3184</v>
      </c>
      <c r="E1268" s="524" t="s">
        <v>3974</v>
      </c>
    </row>
    <row r="1269" spans="1:5" ht="69">
      <c r="A1269" s="286" t="str">
        <f t="shared" si="21"/>
        <v>If the Optochin result is equivocal (9-13mm), is bile solubility or other additional testing performed to confirm the ID?</v>
      </c>
      <c r="B1269" s="26" t="s">
        <v>3975</v>
      </c>
      <c r="C1269" s="26" t="s">
        <v>3976</v>
      </c>
      <c r="D1269" s="164" t="s">
        <v>3977</v>
      </c>
      <c r="E1269" s="524" t="s">
        <v>3978</v>
      </c>
    </row>
    <row r="1270" spans="1:5" ht="27.6">
      <c r="A1270" s="286" t="str">
        <f t="shared" si="21"/>
        <v>Streptococcus pneumoniae latex agglutination</v>
      </c>
      <c r="B1270" s="26" t="s">
        <v>3979</v>
      </c>
      <c r="C1270" s="26" t="s">
        <v>3980</v>
      </c>
      <c r="D1270" s="164" t="s">
        <v>3981</v>
      </c>
      <c r="E1270" s="524" t="s">
        <v>3982</v>
      </c>
    </row>
    <row r="1271" spans="1:5" ht="27.6">
      <c r="A1271" s="286" t="str">
        <f t="shared" si="21"/>
        <v>ENTEROBACTERIACEAE, CONVENTIONAL ID METHODS</v>
      </c>
      <c r="B1271" s="26" t="s">
        <v>684</v>
      </c>
      <c r="C1271" s="26" t="s">
        <v>685</v>
      </c>
      <c r="D1271" s="279" t="s">
        <v>3983</v>
      </c>
      <c r="E1271" s="524" t="s">
        <v>3984</v>
      </c>
    </row>
    <row r="1272" spans="1:5">
      <c r="A1272" s="286" t="str">
        <f t="shared" si="21"/>
        <v>Oxidase</v>
      </c>
      <c r="B1272" s="26" t="s">
        <v>858</v>
      </c>
      <c r="C1272" s="26" t="s">
        <v>859</v>
      </c>
      <c r="D1272" s="279" t="s">
        <v>860</v>
      </c>
      <c r="E1272" s="524" t="s">
        <v>858</v>
      </c>
    </row>
    <row r="1273" spans="1:5">
      <c r="A1273" s="286" t="str">
        <f t="shared" si="21"/>
        <v>Indole</v>
      </c>
      <c r="B1273" s="26" t="s">
        <v>862</v>
      </c>
      <c r="C1273" s="26" t="s">
        <v>862</v>
      </c>
      <c r="D1273" s="279" t="s">
        <v>3985</v>
      </c>
      <c r="E1273" s="524" t="s">
        <v>3985</v>
      </c>
    </row>
    <row r="1274" spans="1:5">
      <c r="A1274" s="286" t="str">
        <f t="shared" si="21"/>
        <v>Methyl Red</v>
      </c>
      <c r="B1274" s="26" t="s">
        <v>865</v>
      </c>
      <c r="C1274" s="26" t="s">
        <v>3986</v>
      </c>
      <c r="D1274" s="279" t="s">
        <v>867</v>
      </c>
      <c r="E1274" s="524" t="s">
        <v>868</v>
      </c>
    </row>
    <row r="1275" spans="1:5" ht="55.2">
      <c r="A1275" s="286" t="str">
        <f t="shared" si="21"/>
        <v>Is this reagent used to test patient isolates? (If No, select N/A for the remaining questions about this reagent)</v>
      </c>
      <c r="B1275" s="26" t="s">
        <v>3987</v>
      </c>
      <c r="C1275" s="26" t="s">
        <v>3988</v>
      </c>
      <c r="D1275" s="279" t="s">
        <v>3989</v>
      </c>
      <c r="E1275" s="524" t="s">
        <v>3990</v>
      </c>
    </row>
    <row r="1276" spans="1:5" ht="69">
      <c r="A1276" s="286" t="str">
        <f t="shared" si="21"/>
        <v>Has an up-to-date SOP been fully implemented?* (If the reagent is in use but there is no SOP, answer "no" to all remaining questions about this reagent)</v>
      </c>
      <c r="B1276" s="26" t="s">
        <v>3915</v>
      </c>
      <c r="C1276" s="26" t="s">
        <v>3991</v>
      </c>
      <c r="D1276" s="279" t="s">
        <v>3917</v>
      </c>
      <c r="E1276" s="524" t="s">
        <v>3918</v>
      </c>
    </row>
    <row r="1277" spans="1:5" ht="27.6">
      <c r="A1277" s="286" t="str">
        <f t="shared" si="21"/>
        <v>Is the SOP readily available** to bench staff?</v>
      </c>
      <c r="B1277" s="26" t="s">
        <v>3919</v>
      </c>
      <c r="C1277" s="350" t="s">
        <v>3920</v>
      </c>
      <c r="D1277" s="164" t="s">
        <v>3921</v>
      </c>
      <c r="E1277" s="524" t="s">
        <v>3922</v>
      </c>
    </row>
    <row r="1278" spans="1:5" ht="55.2">
      <c r="A1278" s="286" t="str">
        <f t="shared" si="21"/>
        <v>Does the SOP define QC organisms, QC frequency, and expected QC results?</v>
      </c>
      <c r="B1278" s="26" t="s">
        <v>3923</v>
      </c>
      <c r="C1278" s="26" t="s">
        <v>3924</v>
      </c>
      <c r="D1278" s="279" t="s">
        <v>3925</v>
      </c>
      <c r="E1278" s="524" t="s">
        <v>3926</v>
      </c>
    </row>
    <row r="1279" spans="1:5" ht="41.4">
      <c r="A1279" s="286" t="str">
        <f t="shared" si="21"/>
        <v>Does the SOP provide stepwise instructions for inoculation and incubation?</v>
      </c>
      <c r="B1279" s="26" t="s">
        <v>3992</v>
      </c>
      <c r="C1279" s="279" t="s">
        <v>3993</v>
      </c>
      <c r="D1279" s="279" t="s">
        <v>3994</v>
      </c>
      <c r="E1279" s="524" t="s">
        <v>3995</v>
      </c>
    </row>
    <row r="1280" spans="1:5" ht="41.4">
      <c r="A1280" s="286" t="str">
        <f t="shared" si="21"/>
        <v>Does the SOP provide stepwise instructions for reading and interpretation?</v>
      </c>
      <c r="B1280" s="26" t="s">
        <v>3996</v>
      </c>
      <c r="C1280" s="279" t="s">
        <v>3997</v>
      </c>
      <c r="D1280" s="279" t="s">
        <v>3998</v>
      </c>
      <c r="E1280" s="524" t="s">
        <v>3999</v>
      </c>
    </row>
    <row r="1281" spans="1:5">
      <c r="A1281" s="286" t="str">
        <f t="shared" si="21"/>
        <v>Voges-Proskauer</v>
      </c>
      <c r="B1281" s="26" t="s">
        <v>869</v>
      </c>
      <c r="C1281" s="26" t="s">
        <v>869</v>
      </c>
      <c r="D1281" s="279" t="s">
        <v>869</v>
      </c>
      <c r="E1281" s="524" t="s">
        <v>869</v>
      </c>
    </row>
    <row r="1282" spans="1:5">
      <c r="A1282" s="286" t="str">
        <f t="shared" si="21"/>
        <v>Citrate</v>
      </c>
      <c r="B1282" s="26" t="s">
        <v>870</v>
      </c>
      <c r="C1282" s="26" t="s">
        <v>870</v>
      </c>
      <c r="D1282" s="279" t="s">
        <v>871</v>
      </c>
      <c r="E1282" s="524" t="s">
        <v>871</v>
      </c>
    </row>
    <row r="1283" spans="1:5" ht="27.6">
      <c r="A1283" s="286" t="str">
        <f t="shared" ref="A1283:A1293" si="22">IF(langue=1,B1283,IF(langue=2,C1283,IF(langue=3,D1283,IF(langue=4,E1283,F1283))))</f>
        <v>Triple Sugar Iron (TSI) or Kligler Iron Agar (KIA)</v>
      </c>
      <c r="B1283" s="26" t="s">
        <v>4000</v>
      </c>
      <c r="C1283" s="26" t="s">
        <v>4001</v>
      </c>
      <c r="D1283" s="279" t="s">
        <v>4002</v>
      </c>
      <c r="E1283" s="524" t="s">
        <v>4003</v>
      </c>
    </row>
    <row r="1284" spans="1:5">
      <c r="A1284" s="286" t="str">
        <f t="shared" si="22"/>
        <v>Urease</v>
      </c>
      <c r="B1284" s="26" t="s">
        <v>876</v>
      </c>
      <c r="C1284" s="26" t="s">
        <v>4004</v>
      </c>
      <c r="D1284" s="279" t="s">
        <v>878</v>
      </c>
      <c r="E1284" s="524" t="s">
        <v>876</v>
      </c>
    </row>
    <row r="1285" spans="1:5">
      <c r="A1285" s="286" t="str">
        <f t="shared" si="22"/>
        <v>Motility</v>
      </c>
      <c r="B1285" s="26" t="s">
        <v>879</v>
      </c>
      <c r="C1285" s="26" t="s">
        <v>880</v>
      </c>
      <c r="D1285" s="279" t="s">
        <v>881</v>
      </c>
      <c r="E1285" s="524" t="s">
        <v>882</v>
      </c>
    </row>
    <row r="1286" spans="1:5" ht="27.6">
      <c r="A1286" s="286" t="str">
        <f t="shared" si="22"/>
        <v>Lysine Iron Agar (LIA) or Lysine Decarboxylase (LDC)</v>
      </c>
      <c r="B1286" s="26" t="s">
        <v>4005</v>
      </c>
      <c r="C1286" s="26" t="s">
        <v>4006</v>
      </c>
      <c r="D1286" s="164" t="s">
        <v>4007</v>
      </c>
      <c r="E1286" s="524" t="s">
        <v>886</v>
      </c>
    </row>
    <row r="1287" spans="1:5">
      <c r="A1287" s="286" t="str">
        <f t="shared" si="22"/>
        <v>SHIGELLA/SALMONELLA SEROLOGY</v>
      </c>
      <c r="B1287" s="26" t="s">
        <v>688</v>
      </c>
      <c r="C1287" s="26" t="s">
        <v>689</v>
      </c>
      <c r="D1287" s="279" t="s">
        <v>4008</v>
      </c>
      <c r="E1287" s="524" t="s">
        <v>4009</v>
      </c>
    </row>
    <row r="1288" spans="1:5">
      <c r="A1288" s="286" t="str">
        <f t="shared" si="22"/>
        <v>Shigella serology</v>
      </c>
      <c r="B1288" s="26" t="s">
        <v>907</v>
      </c>
      <c r="C1288" s="26" t="s">
        <v>908</v>
      </c>
      <c r="D1288" s="279" t="s">
        <v>4010</v>
      </c>
      <c r="E1288" s="524" t="s">
        <v>4011</v>
      </c>
    </row>
    <row r="1289" spans="1:5">
      <c r="A1289" s="286" t="str">
        <f t="shared" si="22"/>
        <v>Salmonella serology</v>
      </c>
      <c r="B1289" s="26" t="s">
        <v>911</v>
      </c>
      <c r="C1289" s="26" t="s">
        <v>4012</v>
      </c>
      <c r="D1289" s="279" t="s">
        <v>913</v>
      </c>
      <c r="E1289" s="524" t="s">
        <v>4013</v>
      </c>
    </row>
    <row r="1290" spans="1:5" ht="27.6">
      <c r="A1290" s="286" t="str">
        <f t="shared" si="22"/>
        <v>ACINETOBACTER SPP, CONVENTIONAL ID METHODS</v>
      </c>
      <c r="B1290" s="26" t="s">
        <v>692</v>
      </c>
      <c r="C1290" s="26" t="s">
        <v>693</v>
      </c>
      <c r="D1290" s="279" t="s">
        <v>4014</v>
      </c>
      <c r="E1290" s="524" t="s">
        <v>4015</v>
      </c>
    </row>
    <row r="1291" spans="1:5" ht="27.6">
      <c r="A1291" s="286" t="str">
        <f t="shared" si="22"/>
        <v>Glucose Oxidative-Fermentative (OF) test</v>
      </c>
      <c r="B1291" s="26" t="s">
        <v>4016</v>
      </c>
      <c r="C1291" s="26" t="s">
        <v>4017</v>
      </c>
      <c r="D1291" s="281" t="s">
        <v>4018</v>
      </c>
      <c r="E1291" s="524" t="s">
        <v>4019</v>
      </c>
    </row>
    <row r="1292" spans="1:5">
      <c r="A1292" s="286" t="str">
        <f t="shared" si="22"/>
        <v>Nitrate reduction</v>
      </c>
      <c r="B1292" s="26" t="s">
        <v>891</v>
      </c>
      <c r="C1292" s="26" t="s">
        <v>892</v>
      </c>
      <c r="D1292" s="279" t="s">
        <v>3198</v>
      </c>
      <c r="E1292" s="524" t="s">
        <v>4020</v>
      </c>
    </row>
    <row r="1293" spans="1:5">
      <c r="A1293" s="286" t="str">
        <f t="shared" si="22"/>
        <v>Gelatin hydrolysis</v>
      </c>
      <c r="B1293" s="26" t="s">
        <v>895</v>
      </c>
      <c r="C1293" s="26" t="s">
        <v>896</v>
      </c>
      <c r="D1293" s="279" t="s">
        <v>3200</v>
      </c>
      <c r="E1293" s="524" t="s">
        <v>3201</v>
      </c>
    </row>
    <row r="1294" spans="1:5">
      <c r="A1294" s="286" t="str">
        <f t="shared" ref="A1294:A1344" si="23">IF(langue=1,B1294,IF(langue=2,C1294,IF(langue=3,D1294,IF(langue=4,E1294,F1294))))</f>
        <v>Chloramphenicol resistance (disk)</v>
      </c>
      <c r="B1294" s="26" t="s">
        <v>899</v>
      </c>
      <c r="C1294" s="26" t="s">
        <v>900</v>
      </c>
      <c r="D1294" s="279" t="s">
        <v>901</v>
      </c>
      <c r="E1294" s="524" t="s">
        <v>902</v>
      </c>
    </row>
    <row r="1295" spans="1:5">
      <c r="A1295" s="286" t="str">
        <f t="shared" si="23"/>
        <v>Growth at 42°C</v>
      </c>
      <c r="B1295" s="26" t="s">
        <v>903</v>
      </c>
      <c r="C1295" s="26" t="s">
        <v>904</v>
      </c>
      <c r="D1295" s="279" t="s">
        <v>3204</v>
      </c>
      <c r="E1295" s="524" t="s">
        <v>906</v>
      </c>
    </row>
    <row r="1296" spans="1:5" ht="27.6">
      <c r="A1296" s="286" t="str">
        <f t="shared" si="23"/>
        <v>KIT-BASED ID METHODS</v>
      </c>
      <c r="B1296" s="26" t="s">
        <v>696</v>
      </c>
      <c r="C1296" s="26" t="s">
        <v>4021</v>
      </c>
      <c r="D1296" s="279" t="s">
        <v>698</v>
      </c>
      <c r="E1296" s="524" t="s">
        <v>4022</v>
      </c>
    </row>
    <row r="1297" spans="1:5" ht="124.2">
      <c r="A1297" s="286" t="str">
        <f t="shared" si="23"/>
        <v xml:space="preserve"> If the lab uses rapid biochemical kits for organism ID (e.g., API, Liofilchem, RapID), does the SOP for each kit contain the following information? (If kits are not used, select "NA", if kits are used but there is no SOP, select "No")</v>
      </c>
      <c r="B1297" s="26" t="s">
        <v>4023</v>
      </c>
      <c r="C1297" s="26" t="s">
        <v>4024</v>
      </c>
      <c r="D1297" s="279" t="s">
        <v>4025</v>
      </c>
      <c r="E1297" s="524" t="s">
        <v>4026</v>
      </c>
    </row>
    <row r="1298" spans="1:5" ht="41.4">
      <c r="A1298" s="286" t="str">
        <f t="shared" si="23"/>
        <v>Defined QC organisms, QC frequency, and expected QC results</v>
      </c>
      <c r="B1298" s="26" t="s">
        <v>4027</v>
      </c>
      <c r="C1298" s="26" t="s">
        <v>4028</v>
      </c>
      <c r="D1298" s="164" t="s">
        <v>4029</v>
      </c>
      <c r="E1298" s="524" t="s">
        <v>4030</v>
      </c>
    </row>
    <row r="1299" spans="1:5" ht="41.4">
      <c r="A1299" s="286" t="str">
        <f t="shared" si="23"/>
        <v>Stepwise instructions for preparing the inoculum in the correct liquid medium and at the correct density</v>
      </c>
      <c r="B1299" s="26" t="s">
        <v>4031</v>
      </c>
      <c r="C1299" s="26" t="s">
        <v>4032</v>
      </c>
      <c r="D1299" s="279" t="s">
        <v>4033</v>
      </c>
      <c r="E1299" s="524" t="s">
        <v>4034</v>
      </c>
    </row>
    <row r="1300" spans="1:5" ht="27.6">
      <c r="A1300" s="286" t="str">
        <f t="shared" si="23"/>
        <v>Stepwise instructions on how to inoculate and incubate the device</v>
      </c>
      <c r="B1300" s="26" t="s">
        <v>4035</v>
      </c>
      <c r="C1300" s="26" t="s">
        <v>4036</v>
      </c>
      <c r="D1300" s="279" t="s">
        <v>4037</v>
      </c>
      <c r="E1300" s="524" t="s">
        <v>4038</v>
      </c>
    </row>
    <row r="1301" spans="1:5" ht="55.2">
      <c r="A1301" s="286" t="str">
        <f t="shared" si="23"/>
        <v>Stepwise instructions on how to read the results, including use of additional reagents if necessary</v>
      </c>
      <c r="B1301" s="26" t="s">
        <v>4039</v>
      </c>
      <c r="C1301" s="26" t="s">
        <v>4040</v>
      </c>
      <c r="D1301" s="279" t="s">
        <v>4041</v>
      </c>
      <c r="E1301" s="524" t="s">
        <v>4042</v>
      </c>
    </row>
    <row r="1302" spans="1:5" ht="41.4">
      <c r="A1302" s="286" t="str">
        <f t="shared" si="23"/>
        <v>Clear guidance on interpreting results and recognizing unacceptable results</v>
      </c>
      <c r="B1302" s="26" t="s">
        <v>4043</v>
      </c>
      <c r="C1302" s="26" t="s">
        <v>4044</v>
      </c>
      <c r="D1302" s="164" t="s">
        <v>4045</v>
      </c>
      <c r="E1302" s="524" t="s">
        <v>4046</v>
      </c>
    </row>
    <row r="1303" spans="1:5" ht="41.4">
      <c r="A1303" s="286" t="str">
        <f t="shared" si="23"/>
        <v>1: Yes - 2: Partial - 3: No - NA: lab does not use rapid biochemical kits</v>
      </c>
      <c r="B1303" s="26" t="s">
        <v>4047</v>
      </c>
      <c r="C1303" s="26" t="s">
        <v>4048</v>
      </c>
      <c r="D1303" s="279" t="s">
        <v>4049</v>
      </c>
      <c r="E1303" s="524" t="s">
        <v>4050</v>
      </c>
    </row>
    <row r="1304" spans="1:5" ht="41.4">
      <c r="A1304" s="286" t="str">
        <f t="shared" si="23"/>
        <v>Are the SOPs available in a language that the technologists can read proficiently?</v>
      </c>
      <c r="B1304" s="26" t="s">
        <v>4051</v>
      </c>
      <c r="C1304" s="26" t="s">
        <v>4052</v>
      </c>
      <c r="D1304" s="279" t="s">
        <v>4053</v>
      </c>
      <c r="E1304" s="524" t="s">
        <v>4054</v>
      </c>
    </row>
    <row r="1305" spans="1:5" ht="41.4">
      <c r="A1305" s="286" t="str">
        <f t="shared" si="23"/>
        <v xml:space="preserve">Is the lab using the inoculation media recommended by the manufacturer? </v>
      </c>
      <c r="B1305" s="26" t="s">
        <v>4055</v>
      </c>
      <c r="C1305" s="26" t="s">
        <v>4056</v>
      </c>
      <c r="D1305" s="279" t="s">
        <v>4057</v>
      </c>
      <c r="E1305" s="524" t="s">
        <v>4058</v>
      </c>
    </row>
    <row r="1306" spans="1:5" ht="151.80000000000001">
      <c r="A1306" s="286" t="str">
        <f t="shared" si="23"/>
        <v>Following device inoculation, does the lab use the remaining inoculum to make a purity plate? (A purity plate is a light subculture of the inoculum that is made to ensure the inoculum was not a mixed culture or contaminated; usually streaked like a urine to ensure visualization of individual colonies and checked for purity when reading results)</v>
      </c>
      <c r="B1306" s="26" t="s">
        <v>4059</v>
      </c>
      <c r="C1306" s="26" t="s">
        <v>4060</v>
      </c>
      <c r="D1306" s="279" t="s">
        <v>4061</v>
      </c>
      <c r="E1306" s="524" t="s">
        <v>4062</v>
      </c>
    </row>
    <row r="1307" spans="1:5" ht="69">
      <c r="A1307" s="286" t="str">
        <f t="shared" si="23"/>
        <v xml:space="preserve">Following incubation, are all supplemental reagents available and added according to manufacturer instructions? (e.g., VP1 &amp; 2 for API) </v>
      </c>
      <c r="B1307" s="26" t="s">
        <v>4063</v>
      </c>
      <c r="C1307" s="26" t="s">
        <v>4064</v>
      </c>
      <c r="D1307" s="279" t="s">
        <v>4065</v>
      </c>
      <c r="E1307" s="524" t="s">
        <v>4066</v>
      </c>
    </row>
    <row r="1308" spans="1:5" ht="41.4">
      <c r="A1308" s="286" t="str">
        <f t="shared" si="23"/>
        <v>Are the databases used to interpret the kit results (bionumbers) up to date?</v>
      </c>
      <c r="B1308" s="26" t="s">
        <v>4067</v>
      </c>
      <c r="C1308" s="26" t="s">
        <v>4068</v>
      </c>
      <c r="D1308" s="279" t="s">
        <v>4069</v>
      </c>
      <c r="E1308" s="524" t="s">
        <v>4070</v>
      </c>
    </row>
    <row r="1309" spans="1:5" ht="110.4">
      <c r="A1309" s="286" t="str">
        <f t="shared" si="23"/>
        <v>When an ID result (bionumber) does not reach the threshold for an acceptable identification, is there evidence that appropriate action is taken, such as repeating the test by another method or performing additional biochemical tests?</v>
      </c>
      <c r="B1309" s="26" t="s">
        <v>4071</v>
      </c>
      <c r="C1309" s="26" t="s">
        <v>4072</v>
      </c>
      <c r="D1309" s="279" t="s">
        <v>4073</v>
      </c>
      <c r="E1309" s="524" t="s">
        <v>4074</v>
      </c>
    </row>
    <row r="1310" spans="1:5" ht="27.6">
      <c r="A1310" s="286" t="str">
        <f t="shared" si="23"/>
        <v>AUTOMATED ID METHODS</v>
      </c>
      <c r="B1310" s="26" t="s">
        <v>700</v>
      </c>
      <c r="C1310" s="26" t="s">
        <v>4075</v>
      </c>
      <c r="D1310" s="279" t="s">
        <v>702</v>
      </c>
      <c r="E1310" s="524" t="s">
        <v>703</v>
      </c>
    </row>
    <row r="1311" spans="1:5" ht="96.6">
      <c r="A1311" s="286" t="str">
        <f t="shared" si="23"/>
        <v>If the lab uses automated methods for organism ID (e.g., Vitek, Microscan, Phoenix), do the SOPs contain the following information? (User manuals provided by the manufacturer are not considered SOPs)</v>
      </c>
      <c r="B1311" s="26" t="s">
        <v>4076</v>
      </c>
      <c r="C1311" s="26" t="s">
        <v>4077</v>
      </c>
      <c r="D1311" s="279" t="s">
        <v>4078</v>
      </c>
      <c r="E1311" s="524" t="s">
        <v>4079</v>
      </c>
    </row>
    <row r="1312" spans="1:5" ht="41.4">
      <c r="A1312" s="286" t="str">
        <f t="shared" si="23"/>
        <v>Defined QC organisms, QC frequency, and expected QC results</v>
      </c>
      <c r="B1312" s="26" t="s">
        <v>4027</v>
      </c>
      <c r="C1312" s="26" t="s">
        <v>4080</v>
      </c>
      <c r="D1312" s="164" t="s">
        <v>4081</v>
      </c>
      <c r="E1312" s="524" t="s">
        <v>4030</v>
      </c>
    </row>
    <row r="1313" spans="1:5" ht="41.4">
      <c r="A1313" s="286" t="str">
        <f t="shared" si="23"/>
        <v>Stepwise instructions for preparing the inoculum in the correct liquid medium and at the correct density</v>
      </c>
      <c r="B1313" s="26" t="s">
        <v>4031</v>
      </c>
      <c r="C1313" s="26" t="s">
        <v>4032</v>
      </c>
      <c r="D1313" s="279" t="s">
        <v>4033</v>
      </c>
      <c r="E1313" s="524" t="s">
        <v>4034</v>
      </c>
    </row>
    <row r="1314" spans="1:5" ht="27.6">
      <c r="A1314" s="286" t="str">
        <f t="shared" si="23"/>
        <v>Stepwise instructions on how to inoculate and incubate the device</v>
      </c>
      <c r="B1314" s="26" t="s">
        <v>4035</v>
      </c>
      <c r="C1314" s="26" t="s">
        <v>4036</v>
      </c>
      <c r="D1314" s="279" t="s">
        <v>4037</v>
      </c>
      <c r="E1314" s="524" t="s">
        <v>4038</v>
      </c>
    </row>
    <row r="1315" spans="1:5" ht="55.2">
      <c r="A1315" s="286" t="str">
        <f t="shared" si="23"/>
        <v>Stepwise instructions on how to read the results, including use of additional reagents if necessary</v>
      </c>
      <c r="B1315" s="26" t="s">
        <v>4039</v>
      </c>
      <c r="C1315" s="26" t="s">
        <v>4040</v>
      </c>
      <c r="D1315" s="279" t="s">
        <v>4041</v>
      </c>
      <c r="E1315" s="524" t="s">
        <v>4042</v>
      </c>
    </row>
    <row r="1316" spans="1:5" ht="41.4">
      <c r="A1316" s="286" t="str">
        <f t="shared" si="23"/>
        <v>Clear guidance on interpreting results and recognizing unacceptable results</v>
      </c>
      <c r="B1316" s="26" t="s">
        <v>4043</v>
      </c>
      <c r="C1316" s="26" t="s">
        <v>4044</v>
      </c>
      <c r="D1316" s="164" t="s">
        <v>4082</v>
      </c>
      <c r="E1316" s="524" t="s">
        <v>4046</v>
      </c>
    </row>
    <row r="1317" spans="1:5" ht="41.4">
      <c r="A1317" s="286" t="str">
        <f t="shared" si="23"/>
        <v>1: Yes; 2: Partial; 3: No; NA: automated methods are not used</v>
      </c>
      <c r="B1317" s="26" t="s">
        <v>4083</v>
      </c>
      <c r="C1317" s="26" t="s">
        <v>4084</v>
      </c>
      <c r="D1317" s="279" t="s">
        <v>4085</v>
      </c>
      <c r="E1317" s="524" t="s">
        <v>4086</v>
      </c>
    </row>
    <row r="1318" spans="1:5" ht="55.2">
      <c r="A1318" s="286" t="str">
        <f t="shared" si="23"/>
        <v>Is the SOP available in a language that the technologists using the instrument can read proficiently?</v>
      </c>
      <c r="B1318" s="26" t="s">
        <v>4087</v>
      </c>
      <c r="C1318" s="26" t="s">
        <v>4052</v>
      </c>
      <c r="D1318" s="279" t="s">
        <v>4053</v>
      </c>
      <c r="E1318" s="524" t="s">
        <v>4088</v>
      </c>
    </row>
    <row r="1319" spans="1:5" ht="41.4">
      <c r="A1319" s="286" t="str">
        <f t="shared" si="23"/>
        <v xml:space="preserve">Is the lab using the inoculation medium recommended by the manufacturer? </v>
      </c>
      <c r="B1319" s="26" t="s">
        <v>4089</v>
      </c>
      <c r="C1319" s="26" t="s">
        <v>4056</v>
      </c>
      <c r="D1319" s="279" t="s">
        <v>4057</v>
      </c>
      <c r="E1319" s="524" t="s">
        <v>4090</v>
      </c>
    </row>
    <row r="1320" spans="1:5" ht="41.4">
      <c r="A1320" s="286" t="str">
        <f t="shared" si="23"/>
        <v>Following card/tray inoculation, does the lab use the remaining inoculum to make a purity plate?</v>
      </c>
      <c r="B1320" s="26" t="s">
        <v>4091</v>
      </c>
      <c r="C1320" s="26" t="s">
        <v>4092</v>
      </c>
      <c r="D1320" s="164" t="s">
        <v>4093</v>
      </c>
      <c r="E1320" s="524" t="s">
        <v>4094</v>
      </c>
    </row>
    <row r="1321" spans="1:5" ht="124.2">
      <c r="A1321" s="286" t="str">
        <f t="shared" si="23"/>
        <v>A purity plate is a light subculture of the inoculum that is made to ensure the inoculum was not mixed or contaminated; usually streaked like a urine to ensure visualization of individual colonies and checked for purity when reading results. BAP is typically used.</v>
      </c>
      <c r="B1321" s="26" t="s">
        <v>4095</v>
      </c>
      <c r="C1321" s="26" t="s">
        <v>4096</v>
      </c>
      <c r="D1321" s="279" t="s">
        <v>4097</v>
      </c>
      <c r="E1321" s="524" t="s">
        <v>4098</v>
      </c>
    </row>
    <row r="1322" spans="1:5" ht="96.6">
      <c r="A1322" s="286" t="str">
        <f t="shared" si="23"/>
        <v>When the instrument software flags an ID result as questionable, is there evidence that appropriate action is taken, such as repeating the test by another method or performing additional biochemical tests?</v>
      </c>
      <c r="B1322" s="26" t="s">
        <v>4099</v>
      </c>
      <c r="C1322" s="26" t="s">
        <v>4100</v>
      </c>
      <c r="D1322" s="279" t="s">
        <v>4101</v>
      </c>
      <c r="E1322" s="524" t="s">
        <v>4102</v>
      </c>
    </row>
    <row r="1323" spans="1:5">
      <c r="A1323" s="286" t="str">
        <f t="shared" si="23"/>
        <v>IDENTIFICATION FLOWCHARTS</v>
      </c>
      <c r="B1323" s="26" t="s">
        <v>704</v>
      </c>
      <c r="C1323" s="26" t="s">
        <v>705</v>
      </c>
      <c r="D1323" s="279" t="s">
        <v>4103</v>
      </c>
      <c r="E1323" s="524" t="s">
        <v>4104</v>
      </c>
    </row>
    <row r="1324" spans="1:5">
      <c r="A1324" s="286" t="str">
        <f t="shared" si="23"/>
        <v>1: Always - 2:  Sometimes - 3: Never</v>
      </c>
      <c r="B1324" s="26" t="s">
        <v>3939</v>
      </c>
      <c r="C1324" s="26" t="s">
        <v>3940</v>
      </c>
      <c r="D1324" s="279" t="s">
        <v>3941</v>
      </c>
      <c r="E1324" s="524" t="s">
        <v>3942</v>
      </c>
    </row>
    <row r="1325" spans="1:5" ht="82.8">
      <c r="A1325" s="286" t="str">
        <f t="shared" si="23"/>
        <v xml:space="preserve">When the primary plate has mixed colony types, is it standard practice to subculture each colony of interest to a fresh plate to ensure purity prior to pursuing identification? </v>
      </c>
      <c r="B1325" s="26" t="s">
        <v>4105</v>
      </c>
      <c r="C1325" s="352" t="s">
        <v>4106</v>
      </c>
      <c r="D1325" s="279" t="s">
        <v>4107</v>
      </c>
      <c r="E1325" s="524" t="s">
        <v>4108</v>
      </c>
    </row>
    <row r="1326" spans="1:5" ht="55.2">
      <c r="A1326" s="286" t="str">
        <f t="shared" si="23"/>
        <v>Is it standard practice to perform a Gram stain on each isolate of interest prior to performing any other testing?</v>
      </c>
      <c r="B1326" s="26" t="s">
        <v>4109</v>
      </c>
      <c r="C1326" s="26" t="s">
        <v>4110</v>
      </c>
      <c r="D1326" s="279" t="s">
        <v>4111</v>
      </c>
      <c r="E1326" s="524" t="s">
        <v>4112</v>
      </c>
    </row>
    <row r="1327" spans="1:5" ht="69">
      <c r="A1327" s="286" t="str">
        <f t="shared" si="23"/>
        <v>For gram-negative bacilli, is it standard practice to perform an oxidase test first, before proceeding with any other identification tests (including automated ID)?</v>
      </c>
      <c r="B1327" s="26" t="s">
        <v>4113</v>
      </c>
      <c r="C1327" s="26" t="s">
        <v>4114</v>
      </c>
      <c r="D1327" s="279" t="s">
        <v>4115</v>
      </c>
      <c r="E1327" s="524" t="s">
        <v>4116</v>
      </c>
    </row>
    <row r="1328" spans="1:5" ht="82.8">
      <c r="A1328" s="286" t="str">
        <f t="shared" si="23"/>
        <v>For gram-negative bacilli, is it standard practice to perform an indole test second, before proceeding with other identification tests (including automated ID)?</v>
      </c>
      <c r="B1328" s="26" t="s">
        <v>4117</v>
      </c>
      <c r="C1328" s="26" t="s">
        <v>4118</v>
      </c>
      <c r="D1328" s="279" t="s">
        <v>4119</v>
      </c>
      <c r="E1328" s="524" t="s">
        <v>4120</v>
      </c>
    </row>
    <row r="1329" spans="1:5" ht="69">
      <c r="A1329" s="286" t="str">
        <f t="shared" si="23"/>
        <v>For oxidase-negative gram-negative bacilli that do not ferment lactose (clear on MacConkey), are sufficient tests available to achieve a definitive identification?</v>
      </c>
      <c r="B1329" s="26" t="s">
        <v>4121</v>
      </c>
      <c r="C1329" s="26" t="s">
        <v>4122</v>
      </c>
      <c r="D1329" s="279" t="s">
        <v>4123</v>
      </c>
      <c r="E1329" s="524" t="s">
        <v>4124</v>
      </c>
    </row>
    <row r="1330" spans="1:5" ht="82.8">
      <c r="A1330" s="286" t="str">
        <f t="shared" si="23"/>
        <v>For oxidase-positive gram-negative bacilli that are not Pseudomonas aeruginosa (lack the characteristic appearance and odor), are sufficient tests available to achieve a definitive identification?</v>
      </c>
      <c r="B1330" s="26" t="s">
        <v>4125</v>
      </c>
      <c r="C1330" s="26" t="s">
        <v>4126</v>
      </c>
      <c r="D1330" s="279" t="s">
        <v>4127</v>
      </c>
      <c r="E1330" s="524" t="s">
        <v>4128</v>
      </c>
    </row>
    <row r="1331" spans="1:5" ht="69">
      <c r="A1331" s="286" t="str">
        <f t="shared" si="23"/>
        <v>For gram-positive cocci, is it standard practice to perform a catalase test first, before proceeding with any other identification tests (including automated ID)?</v>
      </c>
      <c r="B1331" s="26" t="s">
        <v>4129</v>
      </c>
      <c r="C1331" s="26" t="s">
        <v>4130</v>
      </c>
      <c r="D1331" s="279" t="s">
        <v>4131</v>
      </c>
      <c r="E1331" s="524" t="s">
        <v>4132</v>
      </c>
    </row>
    <row r="1332" spans="1:5" ht="82.8">
      <c r="A1332" s="286" t="str">
        <f t="shared" si="23"/>
        <v>For catalase-positive gram-positive cocci, is it standard practice to perform a coagulase test next, before proceeding with other identification tests (including automated ID)?</v>
      </c>
      <c r="B1332" s="26" t="s">
        <v>4133</v>
      </c>
      <c r="C1332" s="26" t="s">
        <v>4134</v>
      </c>
      <c r="D1332" s="279" t="s">
        <v>4135</v>
      </c>
      <c r="E1332" s="524" t="s">
        <v>4136</v>
      </c>
    </row>
    <row r="1333" spans="1:5" ht="82.8">
      <c r="A1333" s="286" t="str">
        <f t="shared" si="23"/>
        <v>For catalase-negative gram-positive cocci, is it standard practice to evaluate the type of hemolysis (alpha, beta, gamma), before proceeding with other identification tests (including automated ID)?</v>
      </c>
      <c r="B1333" s="26" t="s">
        <v>4137</v>
      </c>
      <c r="C1333" s="26" t="s">
        <v>4138</v>
      </c>
      <c r="D1333" s="279" t="s">
        <v>4139</v>
      </c>
      <c r="E1333" s="524" t="s">
        <v>4140</v>
      </c>
    </row>
    <row r="1334" spans="1:5" ht="27.6">
      <c r="A1334" s="286" t="str">
        <f t="shared" si="23"/>
        <v>Fully implemented*, up-to-date SOP is in place</v>
      </c>
      <c r="B1334" s="26" t="s">
        <v>4141</v>
      </c>
      <c r="C1334" s="26" t="s">
        <v>4142</v>
      </c>
      <c r="D1334" s="164" t="s">
        <v>4143</v>
      </c>
      <c r="E1334" s="524" t="s">
        <v>4144</v>
      </c>
    </row>
    <row r="1335" spans="1:5" ht="27.6">
      <c r="A1335" s="286" t="str">
        <f t="shared" si="23"/>
        <v>SOP is readily available** to bench staff</v>
      </c>
      <c r="B1335" s="26" t="s">
        <v>656</v>
      </c>
      <c r="C1335" s="26" t="s">
        <v>657</v>
      </c>
      <c r="D1335" s="279" t="s">
        <v>4145</v>
      </c>
      <c r="E1335" s="524" t="s">
        <v>4146</v>
      </c>
    </row>
    <row r="1336" spans="1:5" ht="41.4">
      <c r="A1336" s="286" t="str">
        <f t="shared" si="23"/>
        <v>SOP defines QC organisms, frequency, and expected results</v>
      </c>
      <c r="B1336" s="26" t="s">
        <v>660</v>
      </c>
      <c r="C1336" s="26" t="s">
        <v>4147</v>
      </c>
      <c r="D1336" s="279" t="s">
        <v>4148</v>
      </c>
      <c r="E1336" s="524" t="s">
        <v>4149</v>
      </c>
    </row>
    <row r="1337" spans="1:5" ht="27.6">
      <c r="A1337" s="286" t="str">
        <f t="shared" si="23"/>
        <v>SOP provides stepwise instructions for test performance</v>
      </c>
      <c r="B1337" s="26" t="s">
        <v>664</v>
      </c>
      <c r="C1337" s="26" t="s">
        <v>4150</v>
      </c>
      <c r="D1337" s="164" t="s">
        <v>4151</v>
      </c>
      <c r="E1337" s="524" t="s">
        <v>4152</v>
      </c>
    </row>
    <row r="1338" spans="1:5" ht="41.4">
      <c r="A1338" s="286" t="str">
        <f t="shared" si="23"/>
        <v>SOP provides stepwise instructions for test interpretation</v>
      </c>
      <c r="B1338" s="26" t="s">
        <v>668</v>
      </c>
      <c r="C1338" s="26" t="s">
        <v>4153</v>
      </c>
      <c r="D1338" s="279" t="s">
        <v>4154</v>
      </c>
      <c r="E1338" s="524" t="s">
        <v>671</v>
      </c>
    </row>
    <row r="1339" spans="1:5" ht="27.6">
      <c r="A1339" s="286" t="str">
        <f t="shared" si="23"/>
        <v>11- ANTIMICROBIAL SUSCEPTIBILITY TESTING (AST) BASICS</v>
      </c>
      <c r="B1339" s="26" t="s">
        <v>4155</v>
      </c>
      <c r="C1339" s="26" t="s">
        <v>4156</v>
      </c>
      <c r="D1339" s="164" t="s">
        <v>4157</v>
      </c>
      <c r="E1339" s="524" t="s">
        <v>4158</v>
      </c>
    </row>
    <row r="1340" spans="1:5" ht="55.2">
      <c r="A1340" s="286" t="str">
        <f t="shared" si="23"/>
        <v>Please note: all questions refer only to clinical patient isolates, NOT to research or environmental isolates</v>
      </c>
      <c r="B1340" s="26" t="s">
        <v>3888</v>
      </c>
      <c r="C1340" s="26" t="s">
        <v>3889</v>
      </c>
      <c r="D1340" s="279" t="s">
        <v>3890</v>
      </c>
      <c r="E1340" s="524" t="s">
        <v>4159</v>
      </c>
    </row>
    <row r="1341" spans="1:5" ht="41.4">
      <c r="A1341" s="286" t="str">
        <f t="shared" si="23"/>
        <v>ANTIBIOTIC DISK AND GRADIENT STRIPS MAINTENANCE</v>
      </c>
      <c r="B1341" s="26" t="s">
        <v>712</v>
      </c>
      <c r="C1341" s="26" t="s">
        <v>4160</v>
      </c>
      <c r="D1341" s="164" t="s">
        <v>4161</v>
      </c>
      <c r="E1341" s="524" t="s">
        <v>4162</v>
      </c>
    </row>
    <row r="1342" spans="1:5" ht="82.8">
      <c r="A1342" s="286" t="str">
        <f t="shared" si="23"/>
        <v>Do the antibiotic disks and strips come with a certificate of analysis from the manufacturer ensuring that they were tested and performed according to ISO quality standards?</v>
      </c>
      <c r="B1342" s="26" t="s">
        <v>4163</v>
      </c>
      <c r="C1342" s="26" t="s">
        <v>4164</v>
      </c>
      <c r="D1342" s="279" t="s">
        <v>4165</v>
      </c>
      <c r="E1342" s="524" t="s">
        <v>4166</v>
      </c>
    </row>
    <row r="1343" spans="1:5" ht="69">
      <c r="A1343" s="286" t="str">
        <f t="shared" si="23"/>
        <v>Are the packages not currently in use stored unopened and in their original packaging in order to prevent moisture ingress?</v>
      </c>
      <c r="B1343" s="26" t="s">
        <v>4167</v>
      </c>
      <c r="C1343" s="26" t="s">
        <v>4168</v>
      </c>
      <c r="D1343" s="279" t="s">
        <v>4169</v>
      </c>
      <c r="E1343" s="524" t="s">
        <v>4170</v>
      </c>
    </row>
    <row r="1344" spans="1:5" ht="55.2">
      <c r="A1344" s="286" t="str">
        <f t="shared" si="23"/>
        <v>Are unopened antibiotic disks and strips stored in a non-defrosting freezer?</v>
      </c>
      <c r="B1344" s="26" t="s">
        <v>4171</v>
      </c>
      <c r="C1344" s="26" t="s">
        <v>4172</v>
      </c>
      <c r="D1344" s="164" t="s">
        <v>4173</v>
      </c>
      <c r="E1344" s="524" t="s">
        <v>4174</v>
      </c>
    </row>
    <row r="1345" spans="1:5" ht="41.4">
      <c r="A1345" s="286" t="str">
        <f t="shared" ref="A1345:A1408" si="24">IF(langue=1,B1345,IF(langue=2,C1345,IF(langue=3,D1345,IF(langue=4,E1345,F1345))))</f>
        <v>If the antibiotic disk cartridge has a cap, is the cap replaced each time the cartridge is opened?</v>
      </c>
      <c r="B1345" s="26" t="s">
        <v>4175</v>
      </c>
      <c r="C1345" s="26" t="s">
        <v>4176</v>
      </c>
      <c r="D1345" s="279" t="s">
        <v>4177</v>
      </c>
      <c r="E1345" s="524" t="s">
        <v>4178</v>
      </c>
    </row>
    <row r="1346" spans="1:5" ht="138">
      <c r="A1346" s="286" t="str">
        <f t="shared" si="24"/>
        <v>Once opened, are in-use antibiotic disks stored in such a way that the lot number and expiration date of each disk is always traceable? (When individual disks are removed and transferred to secondary containers, lot numbers may become mixed and expired disks may inadvertently be used.)</v>
      </c>
      <c r="B1346" s="26" t="s">
        <v>4179</v>
      </c>
      <c r="C1346" s="26" t="s">
        <v>4180</v>
      </c>
      <c r="D1346" s="279" t="s">
        <v>4181</v>
      </c>
      <c r="E1346" s="524" t="s">
        <v>4182</v>
      </c>
    </row>
    <row r="1347" spans="1:5" ht="55.2">
      <c r="A1347" s="286" t="str">
        <f t="shared" si="24"/>
        <v xml:space="preserve">Are the in-use antibiotic disks and strips stored in a tightly sealed container with active desiccants? </v>
      </c>
      <c r="B1347" s="26" t="s">
        <v>4183</v>
      </c>
      <c r="C1347" s="26" t="s">
        <v>4184</v>
      </c>
      <c r="D1347" s="279" t="s">
        <v>4185</v>
      </c>
      <c r="E1347" s="524" t="s">
        <v>4186</v>
      </c>
    </row>
    <row r="1348" spans="1:5" ht="55.2">
      <c r="A1348" s="286" t="str">
        <f t="shared" si="24"/>
        <v>Do the desiccants change color as moisture levels increase (indicating the need to replace or recharge)?</v>
      </c>
      <c r="B1348" s="26" t="s">
        <v>4187</v>
      </c>
      <c r="C1348" s="26" t="s">
        <v>4188</v>
      </c>
      <c r="D1348" s="279" t="s">
        <v>4189</v>
      </c>
      <c r="E1348" s="524" t="s">
        <v>4190</v>
      </c>
    </row>
    <row r="1349" spans="1:5" ht="55.2">
      <c r="A1349" s="286" t="str">
        <f t="shared" si="24"/>
        <v xml:space="preserve">If desiccants do not have a color indicator, are colorless desiccants replaced at least monthly? </v>
      </c>
      <c r="B1349" s="26" t="s">
        <v>4191</v>
      </c>
      <c r="C1349" s="26" t="s">
        <v>4192</v>
      </c>
      <c r="D1349" s="279" t="s">
        <v>4193</v>
      </c>
      <c r="E1349" s="524" t="s">
        <v>4194</v>
      </c>
    </row>
    <row r="1350" spans="1:5" ht="69">
      <c r="A1350" s="286" t="str">
        <f t="shared" si="24"/>
        <v>Are the containers holding open antibiotic disks/strips stored in a refrigerator or non-defrosting freezer when not in use?</v>
      </c>
      <c r="B1350" s="26" t="s">
        <v>4195</v>
      </c>
      <c r="C1350" s="26" t="s">
        <v>4196</v>
      </c>
      <c r="D1350" s="279" t="s">
        <v>4197</v>
      </c>
      <c r="E1350" s="524" t="s">
        <v>4198</v>
      </c>
    </row>
    <row r="1351" spans="1:5" ht="82.8">
      <c r="A1351" s="286" t="str">
        <f t="shared" si="24"/>
        <v>Are the containers holding open antibiotic disks/strips allowed to equilibrate to room temperature before opening to minimize condensation (typically 1 hour)</v>
      </c>
      <c r="B1351" s="26" t="s">
        <v>4199</v>
      </c>
      <c r="C1351" s="26" t="s">
        <v>4200</v>
      </c>
      <c r="D1351" s="164" t="s">
        <v>4201</v>
      </c>
      <c r="E1351" s="524" t="s">
        <v>4202</v>
      </c>
    </row>
    <row r="1352" spans="1:5">
      <c r="A1352" s="286" t="str">
        <f t="shared" si="24"/>
        <v>INOCULUM PREPARATION</v>
      </c>
      <c r="B1352" s="26" t="s">
        <v>716</v>
      </c>
      <c r="C1352" s="26" t="s">
        <v>4203</v>
      </c>
      <c r="D1352" s="279" t="s">
        <v>718</v>
      </c>
      <c r="E1352" s="524" t="s">
        <v>4204</v>
      </c>
    </row>
    <row r="1353" spans="1:5" ht="55.2">
      <c r="A1353" s="286" t="str">
        <f t="shared" si="24"/>
        <v>When preparing an inoculum using the colony suspension method, are colonies less than 18 hours old ever used?</v>
      </c>
      <c r="B1353" s="26" t="s">
        <v>4205</v>
      </c>
      <c r="C1353" s="26" t="s">
        <v>4206</v>
      </c>
      <c r="D1353" s="279" t="s">
        <v>4207</v>
      </c>
      <c r="E1353" s="524" t="s">
        <v>4208</v>
      </c>
    </row>
    <row r="1354" spans="1:5" ht="55.2">
      <c r="A1354" s="286" t="str">
        <f t="shared" si="24"/>
        <v>When preparing an inoculum using the colony suspension method, are colonies more than 24 hours old ever used?</v>
      </c>
      <c r="B1354" s="26" t="s">
        <v>4209</v>
      </c>
      <c r="C1354" s="26" t="s">
        <v>4210</v>
      </c>
      <c r="D1354" s="279" t="s">
        <v>4211</v>
      </c>
      <c r="E1354" s="524" t="s">
        <v>4212</v>
      </c>
    </row>
    <row r="1355" spans="1:5" ht="69">
      <c r="A1355" s="286" t="str">
        <f t="shared" si="24"/>
        <v xml:space="preserve">Observe an AST inoculum preparation. Do technologists use only individual, well-isolated colonies of the same morphological type? </v>
      </c>
      <c r="B1355" s="26" t="s">
        <v>4213</v>
      </c>
      <c r="C1355" s="26" t="s">
        <v>4214</v>
      </c>
      <c r="D1355" s="279" t="s">
        <v>4215</v>
      </c>
      <c r="E1355" s="524" t="s">
        <v>4216</v>
      </c>
    </row>
    <row r="1356" spans="1:5" ht="55.2">
      <c r="A1356" s="286" t="str">
        <f t="shared" si="24"/>
        <v>Are colonies taken only from non-selective media, such as blood agar  ( MacConkey agar is acceptable)</v>
      </c>
      <c r="B1356" s="26" t="s">
        <v>4217</v>
      </c>
      <c r="C1356" s="26" t="s">
        <v>4218</v>
      </c>
      <c r="D1356" s="279" t="s">
        <v>4219</v>
      </c>
      <c r="E1356" s="524" t="s">
        <v>4220</v>
      </c>
    </row>
    <row r="1357" spans="1:5" ht="55.2">
      <c r="A1357" s="286" t="str">
        <f t="shared" si="24"/>
        <v>Does the lab ever intentionally mix two different organisms in the same inoculum for AST?</v>
      </c>
      <c r="B1357" s="26" t="s">
        <v>4221</v>
      </c>
      <c r="C1357" s="26" t="s">
        <v>4222</v>
      </c>
      <c r="D1357" s="279" t="s">
        <v>4223</v>
      </c>
      <c r="E1357" s="524" t="s">
        <v>4224</v>
      </c>
    </row>
    <row r="1358" spans="1:5" ht="27.6">
      <c r="A1358" s="286" t="str">
        <f t="shared" si="24"/>
        <v>Is an appropriate, sterile inoculation medium (TSB or saline) used?</v>
      </c>
      <c r="B1358" s="26" t="s">
        <v>4225</v>
      </c>
      <c r="C1358" s="26" t="s">
        <v>4226</v>
      </c>
      <c r="D1358" s="279" t="s">
        <v>4227</v>
      </c>
      <c r="E1358" s="524" t="s">
        <v>4228</v>
      </c>
    </row>
    <row r="1359" spans="1:5" ht="69">
      <c r="A1359" s="286" t="str">
        <f t="shared" si="24"/>
        <v>Do records indicate that the saline solution is tested for sterility on a regular basis? (Preferably at least weekly)</v>
      </c>
      <c r="B1359" s="26" t="s">
        <v>4229</v>
      </c>
      <c r="C1359" s="26" t="s">
        <v>4230</v>
      </c>
      <c r="D1359" s="279" t="s">
        <v>4231</v>
      </c>
      <c r="E1359" s="524" t="s">
        <v>4232</v>
      </c>
    </row>
    <row r="1360" spans="1:5" ht="41.4">
      <c r="A1360" s="286" t="str">
        <f t="shared" si="24"/>
        <v>Is the inoculum brought to a density equivalent to 0.5 McFarland?</v>
      </c>
      <c r="B1360" s="26" t="s">
        <v>4233</v>
      </c>
      <c r="C1360" s="26" t="s">
        <v>4234</v>
      </c>
      <c r="D1360" s="279" t="s">
        <v>4235</v>
      </c>
      <c r="E1360" s="524" t="s">
        <v>4236</v>
      </c>
    </row>
    <row r="1361" spans="1:5" ht="27.6">
      <c r="A1361" s="286" t="str">
        <f t="shared" si="24"/>
        <v>How is the inoculum density checked for accuracy?</v>
      </c>
      <c r="B1361" s="26" t="s">
        <v>4237</v>
      </c>
      <c r="C1361" s="26" t="s">
        <v>4238</v>
      </c>
      <c r="D1361" s="279" t="s">
        <v>4239</v>
      </c>
      <c r="E1361" s="524" t="s">
        <v>4240</v>
      </c>
    </row>
    <row r="1362" spans="1:5" ht="69">
      <c r="A1362" s="286" t="str">
        <f t="shared" si="24"/>
        <v>1: Calibrated densitometer/turbidity meter - 2: Visual comparison to a 0.5 McFarland standard that is not expired (check date) - 3 : Neither of the above</v>
      </c>
      <c r="B1362" s="26" t="s">
        <v>4241</v>
      </c>
      <c r="C1362" s="26" t="s">
        <v>4242</v>
      </c>
      <c r="D1362" s="279" t="s">
        <v>4243</v>
      </c>
      <c r="E1362" s="524" t="s">
        <v>4244</v>
      </c>
    </row>
    <row r="1363" spans="1:5">
      <c r="A1363" s="286" t="str">
        <f t="shared" si="24"/>
        <v>INOCULATION/INCUBATION</v>
      </c>
      <c r="B1363" s="26" t="s">
        <v>720</v>
      </c>
      <c r="C1363" s="26" t="s">
        <v>4245</v>
      </c>
      <c r="D1363" s="279" t="s">
        <v>722</v>
      </c>
      <c r="E1363" s="524" t="s">
        <v>4246</v>
      </c>
    </row>
    <row r="1364" spans="1:5" ht="41.4">
      <c r="A1364" s="286" t="str">
        <f t="shared" si="24"/>
        <v>Does the lab ever use agar other than Mueller Hinton for AST of non-fastidious organisms?</v>
      </c>
      <c r="B1364" s="26" t="s">
        <v>4247</v>
      </c>
      <c r="C1364" s="26" t="s">
        <v>4248</v>
      </c>
      <c r="D1364" s="279" t="s">
        <v>4249</v>
      </c>
      <c r="E1364" s="524" t="s">
        <v>4250</v>
      </c>
    </row>
    <row r="1365" spans="1:5" ht="55.2">
      <c r="A1365" s="286" t="str">
        <f t="shared" si="24"/>
        <v>Does the lab ever use agar other than Mueller Hinton with Blood for AST of Streptococcus pneumoniae?</v>
      </c>
      <c r="B1365" s="26" t="s">
        <v>4251</v>
      </c>
      <c r="C1365" s="26" t="s">
        <v>4252</v>
      </c>
      <c r="D1365" s="279" t="s">
        <v>4253</v>
      </c>
      <c r="E1365" s="524" t="s">
        <v>4254</v>
      </c>
    </row>
    <row r="1366" spans="1:5" ht="27.6">
      <c r="A1366" s="286" t="str">
        <f t="shared" si="24"/>
        <v>Observe a MH plate being inoculated.</v>
      </c>
      <c r="B1366" s="26" t="s">
        <v>4255</v>
      </c>
      <c r="C1366" s="26" t="s">
        <v>4256</v>
      </c>
      <c r="D1366" s="279" t="s">
        <v>4257</v>
      </c>
      <c r="E1366" s="524" t="s">
        <v>4258</v>
      </c>
    </row>
    <row r="1367" spans="1:5" ht="41.4">
      <c r="A1367" s="286" t="str">
        <f t="shared" si="24"/>
        <v>Is the inoculum always used within 15 minutes of preparation?</v>
      </c>
      <c r="B1367" s="26" t="s">
        <v>4259</v>
      </c>
      <c r="C1367" s="26" t="s">
        <v>4260</v>
      </c>
      <c r="D1367" s="279" t="s">
        <v>4261</v>
      </c>
      <c r="E1367" s="524" t="s">
        <v>4262</v>
      </c>
    </row>
    <row r="1368" spans="1:5" ht="27.6">
      <c r="A1368" s="286" t="str">
        <f t="shared" si="24"/>
        <v>Is a sterile swab used to inoculate the plate?</v>
      </c>
      <c r="B1368" s="26" t="s">
        <v>4263</v>
      </c>
      <c r="C1368" s="26" t="s">
        <v>4264</v>
      </c>
      <c r="D1368" s="279" t="s">
        <v>4265</v>
      </c>
      <c r="E1368" s="524" t="s">
        <v>4266</v>
      </c>
    </row>
    <row r="1369" spans="1:5" ht="27.6">
      <c r="A1369" s="286" t="str">
        <f t="shared" si="24"/>
        <v xml:space="preserve">Is the inoculum spread in a way that will create an even lawn? </v>
      </c>
      <c r="B1369" s="26" t="s">
        <v>4267</v>
      </c>
      <c r="C1369" s="26" t="s">
        <v>4268</v>
      </c>
      <c r="D1369" s="279" t="s">
        <v>4269</v>
      </c>
      <c r="E1369" s="524" t="s">
        <v>4270</v>
      </c>
    </row>
    <row r="1370" spans="1:5" ht="96.6">
      <c r="A1370" s="286" t="str">
        <f t="shared" si="24"/>
        <v>To create an even lawn, streak a line from top to bottom, then spread left to right across that line from top to bottom. Rotate plate 60° and repeat from beginning; rotate plate another 60° and repeat again.</v>
      </c>
      <c r="B1370" s="26" t="s">
        <v>4271</v>
      </c>
      <c r="C1370" s="352" t="s">
        <v>4272</v>
      </c>
      <c r="D1370" s="279" t="s">
        <v>4273</v>
      </c>
      <c r="E1370" s="524" t="s">
        <v>4274</v>
      </c>
    </row>
    <row r="1371" spans="1:5" ht="82.8">
      <c r="A1371" s="286" t="str">
        <f t="shared" si="24"/>
        <v>Before applying disks/strips, are inoculated MH plates allowed to sit, lid-ajar, for 3 to no more than 15 minutes to allow for absorption of excess surface moisture?</v>
      </c>
      <c r="B1371" s="26" t="s">
        <v>4275</v>
      </c>
      <c r="C1371" s="26" t="s">
        <v>4276</v>
      </c>
      <c r="D1371" s="279" t="s">
        <v>4277</v>
      </c>
      <c r="E1371" s="524" t="s">
        <v>4278</v>
      </c>
    </row>
    <row r="1372" spans="1:5" ht="41.4">
      <c r="A1372" s="286" t="str">
        <f t="shared" si="24"/>
        <v>Are disks/strips ever moved after being placed on the agar?</v>
      </c>
      <c r="B1372" s="26" t="s">
        <v>4279</v>
      </c>
      <c r="C1372" s="26" t="s">
        <v>4280</v>
      </c>
      <c r="D1372" s="279" t="s">
        <v>4281</v>
      </c>
      <c r="E1372" s="524" t="s">
        <v>4282</v>
      </c>
    </row>
    <row r="1373" spans="1:5" ht="55.2">
      <c r="A1373" s="286" t="str">
        <f t="shared" si="24"/>
        <v>When using multi-disk dispensers, is the bottom of the dispenser disinfected between isolates?</v>
      </c>
      <c r="B1373" s="26" t="s">
        <v>4283</v>
      </c>
      <c r="C1373" s="26" t="s">
        <v>4284</v>
      </c>
      <c r="D1373" s="279" t="s">
        <v>4285</v>
      </c>
      <c r="E1373" s="524" t="s">
        <v>4286</v>
      </c>
    </row>
    <row r="1374" spans="1:5" ht="41.4">
      <c r="A1374" s="286" t="str">
        <f t="shared" si="24"/>
        <v>Are AST plates incubated within 15 minutes of placing disks/strips?</v>
      </c>
      <c r="B1374" s="26" t="s">
        <v>4287</v>
      </c>
      <c r="C1374" s="26" t="s">
        <v>4288</v>
      </c>
      <c r="D1374" s="164" t="s">
        <v>4289</v>
      </c>
      <c r="E1374" s="524" t="s">
        <v>4290</v>
      </c>
    </row>
    <row r="1375" spans="1:5" ht="41.4">
      <c r="A1375" s="286" t="str">
        <f t="shared" si="24"/>
        <v>After AST inoculation, are “purity plates” made from the remaining suspension?</v>
      </c>
      <c r="B1375" s="26" t="s">
        <v>4291</v>
      </c>
      <c r="C1375" s="26" t="s">
        <v>4292</v>
      </c>
      <c r="D1375" s="164" t="s">
        <v>4293</v>
      </c>
      <c r="E1375" s="524" t="s">
        <v>4294</v>
      </c>
    </row>
    <row r="1376" spans="1:5" ht="110.4">
      <c r="A1376" s="286" t="str">
        <f t="shared" si="24"/>
        <v>A purity plate is a light subculture of the inoculum that is made to ensure the inoculum was not mixed or contaminated; usually streaked like a urine to ensure visualization of individual colonies and checked for purity when reading AST results</v>
      </c>
      <c r="B1376" s="26" t="s">
        <v>4295</v>
      </c>
      <c r="C1376" s="26" t="s">
        <v>4296</v>
      </c>
      <c r="D1376" s="279" t="s">
        <v>4297</v>
      </c>
      <c r="E1376" s="524" t="s">
        <v>4298</v>
      </c>
    </row>
    <row r="1377" spans="1:5" ht="41.4">
      <c r="A1377" s="286" t="str">
        <f t="shared" si="24"/>
        <v>Are AST plates for non-fastidious organisms ever incubated in CO2?</v>
      </c>
      <c r="B1377" s="26" t="s">
        <v>4299</v>
      </c>
      <c r="C1377" s="26" t="s">
        <v>4300</v>
      </c>
      <c r="D1377" s="279" t="s">
        <v>4301</v>
      </c>
      <c r="E1377" s="524" t="s">
        <v>4302</v>
      </c>
    </row>
    <row r="1378" spans="1:5" ht="41.4">
      <c r="A1378" s="286" t="str">
        <f t="shared" si="24"/>
        <v>Are AST plates for S. pneumoniae incubated in 5% CO2?</v>
      </c>
      <c r="B1378" s="26" t="s">
        <v>4303</v>
      </c>
      <c r="C1378" s="26" t="s">
        <v>4304</v>
      </c>
      <c r="D1378" s="164" t="s">
        <v>4305</v>
      </c>
      <c r="E1378" s="524" t="s">
        <v>4306</v>
      </c>
    </row>
    <row r="1379" spans="1:5" ht="41.4">
      <c r="A1379" s="286" t="str">
        <f t="shared" si="24"/>
        <v>Observe some currently incubating and/or recently read Mueller Hinton AST plates.</v>
      </c>
      <c r="B1379" s="26" t="s">
        <v>4307</v>
      </c>
      <c r="C1379" s="26" t="s">
        <v>4308</v>
      </c>
      <c r="D1379" s="279" t="s">
        <v>4309</v>
      </c>
      <c r="E1379" s="524" t="s">
        <v>4310</v>
      </c>
    </row>
    <row r="1380" spans="1:5" ht="41.4">
      <c r="A1380" s="286" t="str">
        <f t="shared" si="24"/>
        <v>Are the lawns of growth confluent (no gaps or individual colonies showing)?</v>
      </c>
      <c r="B1380" s="26" t="s">
        <v>4311</v>
      </c>
      <c r="C1380" s="26" t="s">
        <v>4312</v>
      </c>
      <c r="D1380" s="164" t="s">
        <v>4313</v>
      </c>
      <c r="E1380" s="524" t="s">
        <v>4314</v>
      </c>
    </row>
    <row r="1381" spans="1:5" ht="27.6">
      <c r="A1381" s="286" t="str">
        <f t="shared" si="24"/>
        <v>Is there a maximum of 6 antibiotic disks per 100mm plate?</v>
      </c>
      <c r="B1381" s="26" t="s">
        <v>4315</v>
      </c>
      <c r="C1381" s="26" t="s">
        <v>4316</v>
      </c>
      <c r="D1381" s="279" t="s">
        <v>4317</v>
      </c>
      <c r="E1381" s="524" t="s">
        <v>4318</v>
      </c>
    </row>
    <row r="1382" spans="1:5" ht="27.6">
      <c r="A1382" s="286" t="str">
        <f t="shared" si="24"/>
        <v>Is there a maximum of 12 antibiotic disks per 150mm plate?</v>
      </c>
      <c r="B1382" s="26" t="s">
        <v>4319</v>
      </c>
      <c r="C1382" s="26" t="s">
        <v>4320</v>
      </c>
      <c r="D1382" s="279" t="s">
        <v>4321</v>
      </c>
      <c r="E1382" s="524" t="s">
        <v>4322</v>
      </c>
    </row>
    <row r="1383" spans="1:5" ht="69">
      <c r="A1383" s="286" t="str">
        <f t="shared" si="24"/>
        <v>Are disks spaced properly? (At least 24mm from center to center, no overlapping zones, not too close to edge, uniformly circular zones)</v>
      </c>
      <c r="B1383" s="26" t="s">
        <v>4323</v>
      </c>
      <c r="C1383" s="26" t="s">
        <v>4324</v>
      </c>
      <c r="D1383" s="279" t="s">
        <v>4325</v>
      </c>
      <c r="E1383" s="524" t="s">
        <v>4326</v>
      </c>
    </row>
    <row r="1384" spans="1:5">
      <c r="A1384" s="286" t="str">
        <f t="shared" si="24"/>
        <v>READING AST RESULTS</v>
      </c>
      <c r="B1384" s="26" t="s">
        <v>724</v>
      </c>
      <c r="C1384" s="26" t="s">
        <v>4327</v>
      </c>
      <c r="D1384" s="279" t="s">
        <v>4328</v>
      </c>
      <c r="E1384" s="524" t="s">
        <v>4329</v>
      </c>
    </row>
    <row r="1385" spans="1:5" ht="41.4">
      <c r="A1385" s="286" t="str">
        <f t="shared" si="24"/>
        <v>Are AST results ever read after less than 16 hours of incubation?</v>
      </c>
      <c r="B1385" s="26" t="s">
        <v>4330</v>
      </c>
      <c r="C1385" s="26" t="s">
        <v>4331</v>
      </c>
      <c r="D1385" s="279" t="s">
        <v>4332</v>
      </c>
      <c r="E1385" s="524" t="s">
        <v>4333</v>
      </c>
    </row>
    <row r="1386" spans="1:5" ht="41.4">
      <c r="A1386" s="286" t="str">
        <f t="shared" si="24"/>
        <v>Are AST results ever read after more than 24 hours of incubation?</v>
      </c>
      <c r="B1386" s="26" t="s">
        <v>4334</v>
      </c>
      <c r="C1386" s="26" t="s">
        <v>4335</v>
      </c>
      <c r="D1386" s="279" t="s">
        <v>4336</v>
      </c>
      <c r="E1386" s="524" t="s">
        <v>4337</v>
      </c>
    </row>
    <row r="1387" spans="1:5" ht="69">
      <c r="A1387" s="286" t="str">
        <f t="shared" si="24"/>
        <v>If individual colonies are apparent within the ellipsis or the zone of inhibition, does the lab repeat the test with a fresh subculture of a single colony from the original plate?</v>
      </c>
      <c r="B1387" s="26" t="s">
        <v>4338</v>
      </c>
      <c r="C1387" s="352" t="s">
        <v>4339</v>
      </c>
      <c r="D1387" s="279" t="s">
        <v>4340</v>
      </c>
      <c r="E1387" s="524" t="s">
        <v>4341</v>
      </c>
    </row>
    <row r="1388" spans="1:5" ht="27.6">
      <c r="A1388" s="286" t="str">
        <f t="shared" si="24"/>
        <v>Observe a Mueller Hinton AST plate being read.</v>
      </c>
      <c r="B1388" s="26" t="s">
        <v>4342</v>
      </c>
      <c r="C1388" s="26" t="s">
        <v>4343</v>
      </c>
      <c r="D1388" s="279" t="s">
        <v>4344</v>
      </c>
      <c r="E1388" s="524" t="s">
        <v>4345</v>
      </c>
    </row>
    <row r="1389" spans="1:5" ht="27.6">
      <c r="A1389" s="286" t="str">
        <f t="shared" si="24"/>
        <v>Is the plate held above a black, non-reflective background?</v>
      </c>
      <c r="B1389" s="26" t="s">
        <v>4346</v>
      </c>
      <c r="C1389" s="26" t="s">
        <v>4347</v>
      </c>
      <c r="D1389" s="164" t="s">
        <v>4348</v>
      </c>
      <c r="E1389" s="524" t="s">
        <v>4349</v>
      </c>
    </row>
    <row r="1390" spans="1:5" ht="27.6">
      <c r="A1390" s="286" t="str">
        <f t="shared" si="24"/>
        <v>Is the plate illuminated adequately with reflected light?</v>
      </c>
      <c r="B1390" s="26" t="s">
        <v>4350</v>
      </c>
      <c r="C1390" s="26" t="s">
        <v>4351</v>
      </c>
      <c r="D1390" s="279" t="s">
        <v>4352</v>
      </c>
      <c r="E1390" s="524" t="s">
        <v>4353</v>
      </c>
    </row>
    <row r="1391" spans="1:5" ht="27.6">
      <c r="A1391" s="286" t="str">
        <f t="shared" si="24"/>
        <v>Is the plate inverted and zones measured from underneath?</v>
      </c>
      <c r="B1391" s="26" t="s">
        <v>4354</v>
      </c>
      <c r="C1391" s="26" t="s">
        <v>4355</v>
      </c>
      <c r="D1391" s="279" t="s">
        <v>4356</v>
      </c>
      <c r="E1391" s="524" t="s">
        <v>4357</v>
      </c>
    </row>
    <row r="1392" spans="1:5" ht="55.2">
      <c r="A1392" s="286" t="str">
        <f t="shared" si="24"/>
        <v>Is a ruler or a caliper with millimeter marks used to measure zone sizes ?</v>
      </c>
      <c r="B1392" s="26" t="s">
        <v>4358</v>
      </c>
      <c r="C1392" s="26" t="s">
        <v>4359</v>
      </c>
      <c r="D1392" s="279" t="s">
        <v>4360</v>
      </c>
      <c r="E1392" s="524" t="s">
        <v>4361</v>
      </c>
    </row>
    <row r="1393" spans="1:5" ht="82.8">
      <c r="A1393" s="286" t="str">
        <f t="shared" si="24"/>
        <v>Does the lab possess a guidance document with photos describing how to measure zone sizes, such as the CLSI M02 or the EUCAST disk diffusion reading guides?</v>
      </c>
      <c r="B1393" s="26" t="s">
        <v>4362</v>
      </c>
      <c r="C1393" s="26" t="s">
        <v>4363</v>
      </c>
      <c r="D1393" s="279" t="s">
        <v>4364</v>
      </c>
      <c r="E1393" s="524" t="s">
        <v>4365</v>
      </c>
    </row>
    <row r="1394" spans="1:5" ht="55.2">
      <c r="A1394" s="286" t="str">
        <f t="shared" si="24"/>
        <v xml:space="preserve">Does the lab possess a guidance document with photos describing how to measure gradient strip endpoints? </v>
      </c>
      <c r="B1394" s="26" t="s">
        <v>4366</v>
      </c>
      <c r="C1394" s="26" t="s">
        <v>4367</v>
      </c>
      <c r="D1394" s="164" t="s">
        <v>4368</v>
      </c>
      <c r="E1394" s="524" t="s">
        <v>4369</v>
      </c>
    </row>
    <row r="1395" spans="1:5" ht="41.4">
      <c r="A1395" s="286" t="str">
        <f t="shared" si="24"/>
        <v>For example, http://www.ilexmedical.com/files/ETEST_RG.pdf</v>
      </c>
      <c r="B1395" s="26" t="s">
        <v>4370</v>
      </c>
      <c r="C1395" s="26" t="s">
        <v>4371</v>
      </c>
      <c r="D1395" s="279" t="s">
        <v>4372</v>
      </c>
      <c r="E1395" s="524" t="s">
        <v>4373</v>
      </c>
    </row>
    <row r="1396" spans="1:5" ht="82.8">
      <c r="A1396" s="286" t="str">
        <f t="shared" si="24"/>
        <v xml:space="preserve">Does the SOP or bench aide instruct that zone sizes and/or MIC endpoints for co-trimoxazole (SXT) are measured at 80% inhibition of growth, rather than 100%? </v>
      </c>
      <c r="B1396" s="26" t="s">
        <v>4374</v>
      </c>
      <c r="C1396" s="26" t="s">
        <v>4375</v>
      </c>
      <c r="D1396" s="164" t="s">
        <v>4376</v>
      </c>
      <c r="E1396" s="524" t="s">
        <v>4377</v>
      </c>
    </row>
    <row r="1397" spans="1:5" ht="69">
      <c r="A1397" s="286" t="str">
        <f t="shared" si="24"/>
        <v>Does the SOP or bench aide instruct how to measure zones of inhibition and/or MIC endpoints when Proteus spp. swarming is present?</v>
      </c>
      <c r="B1397" s="26" t="s">
        <v>4378</v>
      </c>
      <c r="C1397" s="26" t="s">
        <v>4379</v>
      </c>
      <c r="D1397" s="164" t="s">
        <v>4380</v>
      </c>
      <c r="E1397" s="524" t="s">
        <v>4381</v>
      </c>
    </row>
    <row r="1398" spans="1:5" ht="27.6">
      <c r="A1398" s="286" t="str">
        <f t="shared" si="24"/>
        <v>Is the automated AST instrument software up to date?</v>
      </c>
      <c r="B1398" s="26" t="s">
        <v>4382</v>
      </c>
      <c r="C1398" s="26" t="s">
        <v>4383</v>
      </c>
      <c r="D1398" s="279" t="s">
        <v>4384</v>
      </c>
      <c r="E1398" s="524" t="s">
        <v>4385</v>
      </c>
    </row>
    <row r="1399" spans="1:5" ht="27.6">
      <c r="A1399" s="286" t="str">
        <f t="shared" si="24"/>
        <v>Answer NA if the lab does not use automated AST instrument</v>
      </c>
      <c r="B1399" s="26" t="s">
        <v>4386</v>
      </c>
      <c r="C1399" s="26" t="s">
        <v>4387</v>
      </c>
      <c r="D1399" s="279" t="s">
        <v>4388</v>
      </c>
      <c r="E1399" s="524" t="s">
        <v>4389</v>
      </c>
    </row>
    <row r="1400" spans="1:5">
      <c r="A1400" s="286" t="str">
        <f t="shared" si="24"/>
        <v>INTERPRETING RESULTS</v>
      </c>
      <c r="B1400" s="26" t="s">
        <v>728</v>
      </c>
      <c r="C1400" s="26" t="s">
        <v>729</v>
      </c>
      <c r="D1400" s="279" t="s">
        <v>730</v>
      </c>
      <c r="E1400" s="524" t="s">
        <v>731</v>
      </c>
    </row>
    <row r="1401" spans="1:5" ht="82.8">
      <c r="A1401" s="286" t="str">
        <f t="shared" si="24"/>
        <v>Is there evidence that appropriate actions are taken when the AST instrument software flags an AST result as questionable (such as checking for purity or repeating the test by another method)?</v>
      </c>
      <c r="B1401" s="26" t="s">
        <v>4390</v>
      </c>
      <c r="C1401" s="26" t="s">
        <v>4391</v>
      </c>
      <c r="D1401" s="279" t="s">
        <v>4392</v>
      </c>
      <c r="E1401" s="524" t="s">
        <v>4393</v>
      </c>
    </row>
    <row r="1402" spans="1:5" ht="27.6">
      <c r="A1402" s="286" t="str">
        <f t="shared" si="24"/>
        <v>Answer NA if the lab does not use automated instrument</v>
      </c>
      <c r="B1402" s="26" t="s">
        <v>4394</v>
      </c>
      <c r="C1402" s="26" t="s">
        <v>4395</v>
      </c>
      <c r="D1402" s="279" t="s">
        <v>4396</v>
      </c>
      <c r="E1402" s="524" t="s">
        <v>4389</v>
      </c>
    </row>
    <row r="1403" spans="1:5" ht="82.8">
      <c r="A1403" s="286" t="str">
        <f t="shared" si="24"/>
        <v>Is there evidence that microbiology staff have received adequate training to recognize intrinsic resistance patterns? (Check SOPs and training/competence assessment records )</v>
      </c>
      <c r="B1403" s="26" t="s">
        <v>4397</v>
      </c>
      <c r="C1403" s="26" t="s">
        <v>4398</v>
      </c>
      <c r="D1403" s="279" t="s">
        <v>4399</v>
      </c>
      <c r="E1403" s="524" t="s">
        <v>4400</v>
      </c>
    </row>
    <row r="1404" spans="1:5" ht="110.4">
      <c r="A1404" s="286" t="str">
        <f t="shared" si="24"/>
        <v>Note: Intrinsic resistance is defined as inherent or innate (not acquired) resistance which is reflected in the wild-type of all representatives of a species; e.g., Citrobacter spp. and Klebsiella spp. are intrinsically (naturally) resistant to ampicillin</v>
      </c>
      <c r="B1404" s="26" t="s">
        <v>4401</v>
      </c>
      <c r="C1404" s="26" t="s">
        <v>4402</v>
      </c>
      <c r="D1404" s="164" t="s">
        <v>4403</v>
      </c>
      <c r="E1404" s="524" t="s">
        <v>4404</v>
      </c>
    </row>
    <row r="1405" spans="1:5" ht="27.6">
      <c r="A1405" s="286" t="str">
        <f t="shared" si="24"/>
        <v>(1: Yes - 2: Some, but would like additional training - 3: No)</v>
      </c>
      <c r="B1405" s="26" t="s">
        <v>4405</v>
      </c>
      <c r="C1405" s="26" t="s">
        <v>4406</v>
      </c>
      <c r="D1405" s="279" t="s">
        <v>4407</v>
      </c>
      <c r="E1405" s="524" t="s">
        <v>4408</v>
      </c>
    </row>
    <row r="1406" spans="1:5" ht="82.8">
      <c r="A1406" s="286" t="str">
        <f t="shared" si="24"/>
        <v>Do the AST SOPs or bench aides provide examples of intrinsic resistance patterns? (Such as those found in CLSI M100 Appendix B or EUCAST Expert Rules V3.1)</v>
      </c>
      <c r="B1406" s="26" t="s">
        <v>4409</v>
      </c>
      <c r="C1406" s="26" t="s">
        <v>4410</v>
      </c>
      <c r="D1406" s="164" t="s">
        <v>4411</v>
      </c>
      <c r="E1406" s="524" t="s">
        <v>4412</v>
      </c>
    </row>
    <row r="1407" spans="1:5" ht="124.2">
      <c r="A1407" s="286" t="str">
        <f t="shared" si="24"/>
        <v>Is there evidence that microbiology staff have received adequate training to recognize unusual or unexpected AST results that might require investigation? (e.g. Klebsiella spp. S to ampicillin; Staphylococcus spp. I/R to vancomycin)</v>
      </c>
      <c r="B1407" s="26" t="s">
        <v>4413</v>
      </c>
      <c r="C1407" s="26" t="s">
        <v>4414</v>
      </c>
      <c r="D1407" s="279" t="s">
        <v>4415</v>
      </c>
      <c r="E1407" s="524" t="s">
        <v>4416</v>
      </c>
    </row>
    <row r="1408" spans="1:5" ht="41.4">
      <c r="A1408" s="286" t="str">
        <f t="shared" si="24"/>
        <v>Check SOPs and training/competence assessment records</v>
      </c>
      <c r="B1408" s="26" t="s">
        <v>4417</v>
      </c>
      <c r="C1408" s="26" t="s">
        <v>4418</v>
      </c>
      <c r="D1408" s="279" t="s">
        <v>4419</v>
      </c>
      <c r="E1408" s="524" t="s">
        <v>4420</v>
      </c>
    </row>
    <row r="1409" spans="1:5" ht="27.6">
      <c r="A1409" s="286" t="str">
        <f t="shared" ref="A1409:A1475" si="25">IF(langue=1,B1409,IF(langue=2,C1409,IF(langue=3,D1409,IF(langue=4,E1409,F1409))))</f>
        <v>1: Yes - 2: Some, but would like additional training - 3: No</v>
      </c>
      <c r="B1409" s="26" t="s">
        <v>2710</v>
      </c>
      <c r="C1409" s="26" t="s">
        <v>2711</v>
      </c>
      <c r="D1409" s="279" t="s">
        <v>2712</v>
      </c>
      <c r="E1409" s="524" t="s">
        <v>2804</v>
      </c>
    </row>
    <row r="1410" spans="1:5" ht="82.8">
      <c r="A1410" s="286" t="str">
        <f t="shared" si="25"/>
        <v>Do the AST SOPs or bench aides define examples of unusual or unexpected AST results? (Such as those found in CLSI M100 Appendix A or EUCAST Expert Rules V3.1)</v>
      </c>
      <c r="B1410" s="26" t="s">
        <v>4421</v>
      </c>
      <c r="C1410" s="26" t="s">
        <v>4422</v>
      </c>
      <c r="D1410" s="279" t="s">
        <v>4423</v>
      </c>
      <c r="E1410" s="524" t="s">
        <v>4424</v>
      </c>
    </row>
    <row r="1411" spans="1:5" ht="110.4">
      <c r="A1411" s="286" t="str">
        <f t="shared" si="25"/>
        <v xml:space="preserve">Do the AST SOPs or bench aides describe what actions to take when unusual or unexpected AST results are encountered (e.g., check purity, reconfirm organism ID, check relevant QC, repeat testing, notify supervisor)? </v>
      </c>
      <c r="B1411" s="26" t="s">
        <v>4425</v>
      </c>
      <c r="C1411" s="26" t="s">
        <v>4426</v>
      </c>
      <c r="D1411" s="164" t="s">
        <v>4427</v>
      </c>
      <c r="E1411" s="524" t="s">
        <v>4428</v>
      </c>
    </row>
    <row r="1412" spans="1:5" ht="27.6">
      <c r="A1412" s="286" t="str">
        <f t="shared" si="25"/>
        <v xml:space="preserve">Is there evidence of such actions being taken? </v>
      </c>
      <c r="B1412" s="26" t="s">
        <v>4429</v>
      </c>
      <c r="C1412" s="26" t="s">
        <v>4430</v>
      </c>
      <c r="D1412" s="279" t="s">
        <v>4431</v>
      </c>
      <c r="E1412" s="524" t="s">
        <v>4432</v>
      </c>
    </row>
    <row r="1413" spans="1:5" ht="55.2">
      <c r="A1413" s="286" t="str">
        <f t="shared" si="25"/>
        <v>Is the microbiology lead or supervisor informed when unusual AST results are identified?</v>
      </c>
      <c r="B1413" s="26" t="s">
        <v>4433</v>
      </c>
      <c r="C1413" s="26" t="s">
        <v>4434</v>
      </c>
      <c r="D1413" s="279" t="s">
        <v>4435</v>
      </c>
      <c r="E1413" s="524" t="s">
        <v>4436</v>
      </c>
    </row>
    <row r="1414" spans="1:5" ht="69">
      <c r="A1414" s="286" t="str">
        <f t="shared" si="25"/>
        <v>Does a supervisor review all AST results for unusual findings before results are given to physicians ?</v>
      </c>
      <c r="B1414" s="26" t="s">
        <v>4437</v>
      </c>
      <c r="C1414" s="26" t="s">
        <v>4438</v>
      </c>
      <c r="D1414" s="279" t="s">
        <v>4439</v>
      </c>
      <c r="E1414" s="524" t="s">
        <v>4440</v>
      </c>
    </row>
    <row r="1415" spans="1:5" ht="55.2">
      <c r="A1415" s="286" t="str">
        <f t="shared" si="25"/>
        <v>Is there evidence that the supervisor received appropriate training on how to recognize unusual AST findings?</v>
      </c>
      <c r="B1415" s="26" t="s">
        <v>4441</v>
      </c>
      <c r="C1415" s="26" t="s">
        <v>4442</v>
      </c>
      <c r="D1415" s="279" t="s">
        <v>4443</v>
      </c>
      <c r="E1415" s="524" t="s">
        <v>4444</v>
      </c>
    </row>
    <row r="1416" spans="1:5" ht="27.6">
      <c r="A1416" s="286" t="str">
        <f t="shared" si="25"/>
        <v>1: Yes - 2: Some, but would like additional training - 3: No</v>
      </c>
      <c r="B1416" s="26" t="s">
        <v>2710</v>
      </c>
      <c r="C1416" s="26" t="s">
        <v>2711</v>
      </c>
      <c r="D1416" s="279" t="s">
        <v>2712</v>
      </c>
      <c r="E1416" s="524" t="s">
        <v>2804</v>
      </c>
    </row>
    <row r="1417" spans="1:5">
      <c r="A1417" s="286" t="str">
        <f t="shared" si="25"/>
        <v>BREAKPOINTS STANDARDS</v>
      </c>
      <c r="B1417" s="26" t="s">
        <v>732</v>
      </c>
      <c r="C1417" s="26" t="s">
        <v>4445</v>
      </c>
      <c r="D1417" s="164" t="s">
        <v>734</v>
      </c>
      <c r="E1417" s="524" t="s">
        <v>735</v>
      </c>
    </row>
    <row r="1418" spans="1:5" ht="27.6">
      <c r="A1418" s="286" t="str">
        <f t="shared" si="25"/>
        <v xml:space="preserve">Which AST breakpoint standard does the lab primarily use? </v>
      </c>
      <c r="B1418" s="26" t="s">
        <v>4446</v>
      </c>
      <c r="C1418" s="26" t="s">
        <v>4447</v>
      </c>
      <c r="D1418" s="164" t="s">
        <v>4448</v>
      </c>
      <c r="E1418" s="524" t="s">
        <v>4449</v>
      </c>
    </row>
    <row r="1419" spans="1:5" ht="41.4">
      <c r="A1419" s="286" t="str">
        <f t="shared" si="25"/>
        <v>1: CLSI - 2: EUCAST - 3: Other (please list in comments) - 4: None/mixed</v>
      </c>
      <c r="B1419" s="26" t="s">
        <v>4450</v>
      </c>
      <c r="C1419" s="26" t="s">
        <v>4451</v>
      </c>
      <c r="D1419" s="279" t="s">
        <v>4452</v>
      </c>
      <c r="E1419" s="524" t="s">
        <v>4453</v>
      </c>
    </row>
    <row r="1420" spans="1:5" ht="41.4">
      <c r="A1420" s="286" t="str">
        <f t="shared" si="25"/>
        <v>Ask to see the lab’s most current hard copy of the standard. Is it less than 3 years old?</v>
      </c>
      <c r="B1420" s="26" t="s">
        <v>4454</v>
      </c>
      <c r="C1420" s="26" t="s">
        <v>4455</v>
      </c>
      <c r="D1420" s="279" t="s">
        <v>4456</v>
      </c>
      <c r="E1420" s="524" t="s">
        <v>4457</v>
      </c>
    </row>
    <row r="1421" spans="1:5" ht="41.4">
      <c r="A1421" s="286" t="str">
        <f t="shared" si="25"/>
        <v>Does the lab obtain updates of the standard in use at least every 3 years?</v>
      </c>
      <c r="B1421" s="26" t="s">
        <v>4458</v>
      </c>
      <c r="C1421" s="26" t="s">
        <v>4459</v>
      </c>
      <c r="D1421" s="279" t="s">
        <v>4460</v>
      </c>
      <c r="E1421" s="524" t="s">
        <v>4461</v>
      </c>
    </row>
    <row r="1422" spans="1:5" ht="82.8">
      <c r="A1422" s="286" t="str">
        <f t="shared" si="25"/>
        <v>Does the lab review important standards changes, e.g., breakpoint changes, with the relevant hospital committees (e.g. pharmacy and therapeutics, stewardship)?</v>
      </c>
      <c r="B1422" s="26" t="s">
        <v>4462</v>
      </c>
      <c r="C1422" s="26" t="s">
        <v>4463</v>
      </c>
      <c r="D1422" s="279" t="s">
        <v>4464</v>
      </c>
      <c r="E1422" s="524" t="s">
        <v>4465</v>
      </c>
    </row>
    <row r="1423" spans="1:5" ht="55.2">
      <c r="A1423" s="286" t="str">
        <f t="shared" si="25"/>
        <v xml:space="preserve">Is there internet in the lab to access free EUCAST PDFs or CLSI M100 online version? </v>
      </c>
      <c r="B1423" s="26" t="s">
        <v>4466</v>
      </c>
      <c r="C1423" s="26" t="s">
        <v>4467</v>
      </c>
      <c r="D1423" s="279" t="s">
        <v>4468</v>
      </c>
      <c r="E1423" s="524" t="s">
        <v>4469</v>
      </c>
    </row>
    <row r="1424" spans="1:5" ht="27.6">
      <c r="A1424" s="286" t="str">
        <f t="shared" si="25"/>
        <v xml:space="preserve">http://www.eucast.org/ast_of_bacteria/guidance_documents/  </v>
      </c>
      <c r="B1424" s="26" t="s">
        <v>4470</v>
      </c>
      <c r="C1424" s="26" t="s">
        <v>4471</v>
      </c>
      <c r="D1424" s="279" t="s">
        <v>4471</v>
      </c>
      <c r="E1424" s="524" t="s">
        <v>4472</v>
      </c>
    </row>
    <row r="1425" spans="1:5">
      <c r="A1425" s="286" t="str">
        <f t="shared" si="25"/>
        <v>http://clsi-m100.com/</v>
      </c>
      <c r="B1425" s="26" t="s">
        <v>4473</v>
      </c>
      <c r="C1425" s="26" t="s">
        <v>4473</v>
      </c>
      <c r="D1425" s="279" t="s">
        <v>4473</v>
      </c>
      <c r="E1425" s="524" t="s">
        <v>4473</v>
      </c>
    </row>
    <row r="1426" spans="1:5" ht="96.6">
      <c r="A1426" s="286" t="str">
        <f t="shared" si="25"/>
        <v>Is there evidence that microbiology staff have received adequate training on how to use the CLSI M100 or EUCAST documents effectively? (1: Yes - 2: Some, but would like additional training - 3: No)</v>
      </c>
      <c r="B1426" s="26" t="s">
        <v>4474</v>
      </c>
      <c r="C1426" s="26" t="s">
        <v>4475</v>
      </c>
      <c r="D1426" s="279" t="s">
        <v>4476</v>
      </c>
      <c r="E1426" s="524" t="s">
        <v>4477</v>
      </c>
    </row>
    <row r="1427" spans="1:5" ht="41.4">
      <c r="A1427" s="286" t="str">
        <f t="shared" si="25"/>
        <v>For the next 3 questions, answer NA if the lab does not use considered disks</v>
      </c>
      <c r="B1427" s="26" t="s">
        <v>4478</v>
      </c>
      <c r="C1427" s="26" t="s">
        <v>4479</v>
      </c>
      <c r="D1427" s="164" t="s">
        <v>4480</v>
      </c>
      <c r="E1427" s="524" t="s">
        <v>4481</v>
      </c>
    </row>
    <row r="1428" spans="1:5" ht="96.6">
      <c r="A1428" s="286" t="str">
        <f t="shared" si="25"/>
        <v>Look at the cefotaxime disks currently in use. Does the drug concentration correspond correctly to the standard the lab uses? (CLSI breakpoints require 30µg disks, EUCAST breakpoints require 5µg disks).</v>
      </c>
      <c r="B1428" s="26" t="s">
        <v>4482</v>
      </c>
      <c r="C1428" s="26" t="s">
        <v>4483</v>
      </c>
      <c r="D1428" s="279" t="s">
        <v>4484</v>
      </c>
      <c r="E1428" s="524" t="s">
        <v>4485</v>
      </c>
    </row>
    <row r="1429" spans="1:5" ht="96.6">
      <c r="A1429" s="286" t="str">
        <f t="shared" si="25"/>
        <v>Look at the ceftazidime disks currently in use. Does the drug concentration correspond correctly to the standard in use? (CLSI breakpoints require 30µg disks, EUCAST breakpoints require 10µg)</v>
      </c>
      <c r="B1429" s="26" t="s">
        <v>4486</v>
      </c>
      <c r="C1429" s="26" t="s">
        <v>4487</v>
      </c>
      <c r="D1429" s="279" t="s">
        <v>4488</v>
      </c>
      <c r="E1429" s="524" t="s">
        <v>4489</v>
      </c>
    </row>
    <row r="1430" spans="1:5" ht="110.4">
      <c r="A1430" s="286" t="str">
        <f t="shared" si="25"/>
        <v>Look at the piperacillin-tazobactam disks currently in use. Does the drug concentration correspond correctly to the standard in use? (CLSI breakpoints require 100/10µg disks, EUCAST breakpoints require 30/6µg disks).</v>
      </c>
      <c r="B1430" s="26" t="s">
        <v>4490</v>
      </c>
      <c r="C1430" s="26" t="s">
        <v>4491</v>
      </c>
      <c r="D1430" s="279" t="s">
        <v>4492</v>
      </c>
      <c r="E1430" s="524" t="s">
        <v>4493</v>
      </c>
    </row>
    <row r="1431" spans="1:5">
      <c r="A1431" s="286" t="str">
        <f t="shared" si="25"/>
        <v>12- AST EXPERT RULES</v>
      </c>
      <c r="B1431" s="26" t="s">
        <v>736</v>
      </c>
      <c r="C1431" s="26" t="s">
        <v>4494</v>
      </c>
      <c r="D1431" s="164" t="s">
        <v>738</v>
      </c>
      <c r="E1431" s="524" t="s">
        <v>4495</v>
      </c>
    </row>
    <row r="1432" spans="1:5" ht="55.2">
      <c r="A1432" s="286" t="str">
        <f t="shared" si="25"/>
        <v>Please note: all questions refer only to clinical patient isolates, NOT to research or environmental isolates</v>
      </c>
      <c r="B1432" s="26" t="s">
        <v>3888</v>
      </c>
      <c r="C1432" s="26" t="s">
        <v>3889</v>
      </c>
      <c r="D1432" s="279" t="s">
        <v>3890</v>
      </c>
      <c r="E1432" s="524" t="s">
        <v>4159</v>
      </c>
    </row>
    <row r="1433" spans="1:5" ht="27.6">
      <c r="A1433" s="286" t="str">
        <f t="shared" si="25"/>
        <v>EXPERT RULES FOR SALMONELLA</v>
      </c>
      <c r="B1433" s="26" t="s">
        <v>740</v>
      </c>
      <c r="C1433" s="26" t="s">
        <v>741</v>
      </c>
      <c r="D1433" s="164" t="s">
        <v>742</v>
      </c>
      <c r="E1433" s="524" t="s">
        <v>4496</v>
      </c>
    </row>
    <row r="1434" spans="1:5" ht="69">
      <c r="A1434" s="286" t="str">
        <f t="shared" si="25"/>
        <v xml:space="preserve">Review a patient AST report for a Salmonella or Shigella isolate. Were any of the following drug classes tested or reported? </v>
      </c>
      <c r="B1434" s="26" t="s">
        <v>4497</v>
      </c>
      <c r="C1434" s="26" t="s">
        <v>4498</v>
      </c>
      <c r="D1434" s="164" t="s">
        <v>4499</v>
      </c>
      <c r="E1434" s="524" t="s">
        <v>4500</v>
      </c>
    </row>
    <row r="1435" spans="1:5" ht="82.8">
      <c r="A1435" s="286" t="str">
        <f t="shared" si="25"/>
        <v>These drugs may appear active in vitro but are not effective clinically against Salmonella or Shigella and should not be reported as susceptible, regardless of the AST result.</v>
      </c>
      <c r="B1435" s="26" t="s">
        <v>4501</v>
      </c>
      <c r="C1435" s="26" t="s">
        <v>4502</v>
      </c>
      <c r="D1435" s="279" t="s">
        <v>4503</v>
      </c>
      <c r="E1435" s="524" t="s">
        <v>4504</v>
      </c>
    </row>
    <row r="1436" spans="1:5" ht="41.4">
      <c r="A1436" s="286" t="str">
        <f t="shared" si="25"/>
        <v>1st generation cephalosporins (cefazolin, cephalothin, cephapirin, cephadrine)</v>
      </c>
      <c r="B1436" s="26" t="s">
        <v>4505</v>
      </c>
      <c r="C1436" s="26" t="s">
        <v>4506</v>
      </c>
      <c r="D1436" s="279" t="s">
        <v>4507</v>
      </c>
      <c r="E1436" s="524" t="s">
        <v>4508</v>
      </c>
    </row>
    <row r="1437" spans="1:5" ht="27.6">
      <c r="A1437" s="286" t="str">
        <f t="shared" si="25"/>
        <v>2nd generation cephalosporins (cefuroxime, cefonicid, cefamandole)</v>
      </c>
      <c r="B1437" s="26" t="s">
        <v>4509</v>
      </c>
      <c r="C1437" s="26" t="s">
        <v>4510</v>
      </c>
      <c r="D1437" s="279" t="s">
        <v>4511</v>
      </c>
      <c r="E1437" s="524" t="s">
        <v>4512</v>
      </c>
    </row>
    <row r="1438" spans="1:5">
      <c r="A1438" s="286" t="str">
        <f t="shared" si="25"/>
        <v>Cephamycins (cefoxitin, cefotetan)</v>
      </c>
      <c r="B1438" s="26" t="s">
        <v>4513</v>
      </c>
      <c r="C1438" s="26" t="s">
        <v>4514</v>
      </c>
      <c r="D1438" s="279" t="s">
        <v>4515</v>
      </c>
      <c r="E1438" s="524" t="s">
        <v>4515</v>
      </c>
    </row>
    <row r="1439" spans="1:5" ht="27.6">
      <c r="A1439" s="286" t="str">
        <f t="shared" si="25"/>
        <v>Aminoglycosides (gentamicin, tobramycin, amikacin)</v>
      </c>
      <c r="B1439" s="26" t="s">
        <v>4516</v>
      </c>
      <c r="C1439" s="26" t="s">
        <v>4517</v>
      </c>
      <c r="D1439" s="279" t="s">
        <v>4518</v>
      </c>
      <c r="E1439" s="524" t="s">
        <v>4519</v>
      </c>
    </row>
    <row r="1440" spans="1:5" ht="55.2">
      <c r="A1440" s="286" t="str">
        <f t="shared" si="25"/>
        <v>Does the lab use Nalidixic Acid to screen Salmonella isolates for ciprofloxacin resistance?</v>
      </c>
      <c r="B1440" s="26" t="s">
        <v>4520</v>
      </c>
      <c r="C1440" s="26" t="s">
        <v>4521</v>
      </c>
      <c r="D1440" s="164" t="s">
        <v>4522</v>
      </c>
      <c r="E1440" s="524" t="s">
        <v>4523</v>
      </c>
    </row>
    <row r="1441" spans="1:5" ht="82.8">
      <c r="A1441" s="286" t="str">
        <f t="shared" si="25"/>
        <v xml:space="preserve">Compare the lab’s AST bench aids and SOPs to the Salmonella table in the Assessor’s Guide. Does the lab use the correct fluoroquinolone (FQ) breakpoints for Salmonella spp? </v>
      </c>
      <c r="B1441" s="26" t="s">
        <v>4524</v>
      </c>
      <c r="C1441" s="26" t="s">
        <v>4525</v>
      </c>
      <c r="D1441" s="164" t="s">
        <v>4526</v>
      </c>
      <c r="E1441" s="524" t="s">
        <v>4527</v>
      </c>
    </row>
    <row r="1442" spans="1:5" ht="41.4">
      <c r="A1442" s="286" t="str">
        <f t="shared" si="25"/>
        <v>(Enterobacteriaceae FQ breakpoints should not be used for Salmonella spp).</v>
      </c>
      <c r="B1442" s="26" t="s">
        <v>4528</v>
      </c>
      <c r="C1442" s="26" t="s">
        <v>4529</v>
      </c>
      <c r="D1442" s="164" t="s">
        <v>4530</v>
      </c>
      <c r="E1442" s="524" t="s">
        <v>4531</v>
      </c>
    </row>
    <row r="1443" spans="1:5" ht="27.6">
      <c r="A1443" s="286" t="str">
        <f t="shared" si="25"/>
        <v>GRAM NEGATIVES &amp; BETA-LACTAM BREAKPOINTS</v>
      </c>
      <c r="B1443" s="26" t="s">
        <v>744</v>
      </c>
      <c r="C1443" s="26" t="s">
        <v>4532</v>
      </c>
      <c r="D1443" s="164" t="s">
        <v>4533</v>
      </c>
      <c r="E1443" s="524" t="s">
        <v>4534</v>
      </c>
    </row>
    <row r="1444" spans="1:5" ht="27.6">
      <c r="A1444" s="286" t="str">
        <f t="shared" si="25"/>
        <v>IMPORTANT! Please read the information below before proceeding:</v>
      </c>
      <c r="B1444" s="26" t="s">
        <v>4535</v>
      </c>
      <c r="C1444" s="388" t="s">
        <v>4536</v>
      </c>
      <c r="D1444" s="388" t="s">
        <v>4537</v>
      </c>
      <c r="E1444" s="526" t="s">
        <v>4538</v>
      </c>
    </row>
    <row r="1445" spans="1:5" ht="69">
      <c r="A1445" s="286" t="str">
        <f t="shared" si="25"/>
        <v xml:space="preserve">Beginning in 2009, CLSI and EUCAST lowered the breakpoints for several beta-lactam antibiotics and Aztreonam in order to enhance the detection of resistance. </v>
      </c>
      <c r="B1445" s="26" t="s">
        <v>4539</v>
      </c>
      <c r="C1445" s="26" t="s">
        <v>4540</v>
      </c>
      <c r="D1445" s="279" t="s">
        <v>4541</v>
      </c>
      <c r="E1445" s="524" t="s">
        <v>4542</v>
      </c>
    </row>
    <row r="1446" spans="1:5" ht="69">
      <c r="A1446" s="286" t="str">
        <f t="shared" si="25"/>
        <v>Even if a laboratory has current CLSI or EUCAST manuals, they may have failed to update their bench aids and SOPs to reflect current breakpoints.</v>
      </c>
      <c r="B1446" s="26" t="s">
        <v>4543</v>
      </c>
      <c r="C1446" s="391" t="s">
        <v>4544</v>
      </c>
      <c r="D1446" s="392" t="s">
        <v>4545</v>
      </c>
      <c r="E1446" s="526" t="s">
        <v>4546</v>
      </c>
    </row>
    <row r="1447" spans="1:5" ht="69">
      <c r="A1447" s="286" t="str">
        <f t="shared" si="25"/>
        <v>Since the bench aids and SOPs are used by technologists for AST interpretation, it is crucial that these are up to date as well.</v>
      </c>
      <c r="B1447" s="26" t="s">
        <v>4547</v>
      </c>
      <c r="C1447" s="392" t="s">
        <v>4548</v>
      </c>
      <c r="D1447" s="392" t="s">
        <v>4549</v>
      </c>
      <c r="E1447" s="526" t="s">
        <v>4550</v>
      </c>
    </row>
    <row r="1448" spans="1:5" ht="82.8">
      <c r="A1448" s="286" t="str">
        <f t="shared" si="25"/>
        <v xml:space="preserve">The Assessor’s Guide shows the current breakpoints for these antibiotics. Compare this table to the bench aids and SOPs the technologists use for zone size and MIC interpretation. </v>
      </c>
      <c r="B1448" s="26" t="s">
        <v>4551</v>
      </c>
      <c r="C1448" s="26" t="s">
        <v>4552</v>
      </c>
      <c r="D1448" s="279" t="s">
        <v>4553</v>
      </c>
      <c r="E1448" s="524" t="s">
        <v>4554</v>
      </c>
    </row>
    <row r="1449" spans="1:5" ht="55.2">
      <c r="A1449" s="286" t="str">
        <f t="shared" si="25"/>
        <v>Do the bench aids and SOPs have the current breakpoints for the following combinations?</v>
      </c>
      <c r="B1449" s="26" t="s">
        <v>4555</v>
      </c>
      <c r="C1449" s="392" t="s">
        <v>4556</v>
      </c>
      <c r="D1449" s="392" t="s">
        <v>4557</v>
      </c>
      <c r="E1449" s="526" t="s">
        <v>4558</v>
      </c>
    </row>
    <row r="1450" spans="1:5" ht="27.6">
      <c r="A1450" s="286" t="str">
        <f t="shared" si="25"/>
        <v>(Select NA if the antibiotic is not in use)</v>
      </c>
      <c r="B1450" s="26" t="s">
        <v>4559</v>
      </c>
      <c r="C1450" s="26" t="s">
        <v>4560</v>
      </c>
      <c r="D1450" s="279" t="s">
        <v>4561</v>
      </c>
      <c r="E1450" s="524" t="s">
        <v>4562</v>
      </c>
    </row>
    <row r="1451" spans="1:5">
      <c r="A1451" s="286" t="str">
        <f t="shared" si="25"/>
        <v>Enterobacteriaceae and Aztreonam</v>
      </c>
      <c r="B1451" s="26" t="s">
        <v>4563</v>
      </c>
      <c r="C1451" s="26" t="s">
        <v>4564</v>
      </c>
      <c r="D1451" s="279" t="s">
        <v>4565</v>
      </c>
      <c r="E1451" s="524" t="s">
        <v>4566</v>
      </c>
    </row>
    <row r="1452" spans="1:5">
      <c r="A1452" s="286" t="str">
        <f t="shared" si="25"/>
        <v>Enterobacteriaceae and Cefotaxime</v>
      </c>
      <c r="B1452" s="26" t="s">
        <v>4567</v>
      </c>
      <c r="C1452" s="26" t="s">
        <v>4568</v>
      </c>
      <c r="D1452" s="279" t="s">
        <v>4569</v>
      </c>
      <c r="E1452" s="524" t="s">
        <v>4570</v>
      </c>
    </row>
    <row r="1453" spans="1:5">
      <c r="A1453" s="286" t="str">
        <f t="shared" si="25"/>
        <v>Enterobacteriaceae and Ceftriaxone</v>
      </c>
      <c r="B1453" s="26" t="s">
        <v>4571</v>
      </c>
      <c r="C1453" s="26" t="s">
        <v>4572</v>
      </c>
      <c r="D1453" s="279" t="s">
        <v>4573</v>
      </c>
      <c r="E1453" s="524" t="s">
        <v>4574</v>
      </c>
    </row>
    <row r="1454" spans="1:5">
      <c r="A1454" s="286" t="str">
        <f t="shared" si="25"/>
        <v>Enterobacteriaceae and Ceftazidime</v>
      </c>
      <c r="B1454" s="26" t="s">
        <v>4575</v>
      </c>
      <c r="C1454" s="26" t="s">
        <v>4576</v>
      </c>
      <c r="D1454" s="279" t="s">
        <v>4577</v>
      </c>
      <c r="E1454" s="524" t="s">
        <v>4578</v>
      </c>
    </row>
    <row r="1455" spans="1:5">
      <c r="A1455" s="286" t="str">
        <f t="shared" si="25"/>
        <v>Enterobacteriaceae and Cefepime</v>
      </c>
      <c r="B1455" s="26" t="s">
        <v>4579</v>
      </c>
      <c r="C1455" s="26" t="s">
        <v>4580</v>
      </c>
      <c r="D1455" s="279" t="s">
        <v>4581</v>
      </c>
      <c r="E1455" s="524" t="s">
        <v>4582</v>
      </c>
    </row>
    <row r="1456" spans="1:5">
      <c r="A1456" s="286" t="str">
        <f t="shared" si="25"/>
        <v>Enterobacteriaceae and Imipenem</v>
      </c>
      <c r="B1456" s="26" t="s">
        <v>4583</v>
      </c>
      <c r="C1456" s="26" t="s">
        <v>4584</v>
      </c>
      <c r="D1456" s="279" t="s">
        <v>4585</v>
      </c>
      <c r="E1456" s="524" t="s">
        <v>4585</v>
      </c>
    </row>
    <row r="1457" spans="1:5">
      <c r="A1457" s="286" t="str">
        <f t="shared" si="25"/>
        <v>Enterobacteriaceae and Meropenem</v>
      </c>
      <c r="B1457" s="26" t="s">
        <v>4586</v>
      </c>
      <c r="C1457" s="26" t="s">
        <v>4587</v>
      </c>
      <c r="D1457" s="279" t="s">
        <v>4588</v>
      </c>
      <c r="E1457" s="524" t="s">
        <v>4589</v>
      </c>
    </row>
    <row r="1458" spans="1:5">
      <c r="A1458" s="286" t="str">
        <f t="shared" si="25"/>
        <v>Enterobacteriaceae and Ertapenem</v>
      </c>
      <c r="B1458" s="26" t="s">
        <v>4590</v>
      </c>
      <c r="C1458" s="26" t="s">
        <v>4591</v>
      </c>
      <c r="D1458" s="279" t="s">
        <v>4592</v>
      </c>
      <c r="E1458" s="524" t="s">
        <v>4593</v>
      </c>
    </row>
    <row r="1459" spans="1:5">
      <c r="A1459" s="286" t="str">
        <f t="shared" si="25"/>
        <v>Enterobacteriaceae and Doripenem</v>
      </c>
      <c r="B1459" s="26" t="s">
        <v>4594</v>
      </c>
      <c r="C1459" s="26" t="s">
        <v>4595</v>
      </c>
      <c r="D1459" s="279" t="s">
        <v>4596</v>
      </c>
      <c r="E1459" s="524" t="s">
        <v>4597</v>
      </c>
    </row>
    <row r="1460" spans="1:5">
      <c r="A1460" s="286" t="str">
        <f t="shared" si="25"/>
        <v>Acinetobacter and Imipenem</v>
      </c>
      <c r="B1460" s="26" t="s">
        <v>4598</v>
      </c>
      <c r="C1460" s="26" t="s">
        <v>4599</v>
      </c>
      <c r="D1460" s="279" t="s">
        <v>4600</v>
      </c>
      <c r="E1460" s="524" t="s">
        <v>4600</v>
      </c>
    </row>
    <row r="1461" spans="1:5">
      <c r="A1461" s="286" t="str">
        <f t="shared" si="25"/>
        <v>Acinetobacter and Meropenem</v>
      </c>
      <c r="B1461" s="26" t="s">
        <v>4601</v>
      </c>
      <c r="C1461" s="26" t="s">
        <v>4602</v>
      </c>
      <c r="D1461" s="279" t="s">
        <v>4603</v>
      </c>
      <c r="E1461" s="524" t="s">
        <v>4604</v>
      </c>
    </row>
    <row r="1462" spans="1:5">
      <c r="A1462" s="286" t="str">
        <f t="shared" si="25"/>
        <v>Acinetobacter and Doripenem</v>
      </c>
      <c r="B1462" s="26" t="s">
        <v>4605</v>
      </c>
      <c r="C1462" s="26" t="s">
        <v>4606</v>
      </c>
      <c r="D1462" s="279" t="s">
        <v>4607</v>
      </c>
      <c r="E1462" s="524" t="s">
        <v>4608</v>
      </c>
    </row>
    <row r="1463" spans="1:5">
      <c r="A1463" s="286" t="str">
        <f t="shared" si="25"/>
        <v>Pseudomonas and Cefepime</v>
      </c>
      <c r="B1463" s="26" t="s">
        <v>4609</v>
      </c>
      <c r="C1463" s="26" t="s">
        <v>4610</v>
      </c>
      <c r="D1463" s="279" t="s">
        <v>4611</v>
      </c>
      <c r="E1463" s="524" t="s">
        <v>4612</v>
      </c>
    </row>
    <row r="1464" spans="1:5">
      <c r="A1464" s="286" t="str">
        <f t="shared" si="25"/>
        <v>Pseudomonas and Piperacillin</v>
      </c>
      <c r="B1464" s="26" t="s">
        <v>4613</v>
      </c>
      <c r="C1464" s="26" t="s">
        <v>4614</v>
      </c>
      <c r="D1464" s="279" t="s">
        <v>4615</v>
      </c>
      <c r="E1464" s="524" t="s">
        <v>4616</v>
      </c>
    </row>
    <row r="1465" spans="1:5" ht="27.6">
      <c r="A1465" s="286" t="str">
        <f t="shared" si="25"/>
        <v>Pseudomonas and Piperacillin-Tazobactam</v>
      </c>
      <c r="B1465" s="26" t="s">
        <v>4617</v>
      </c>
      <c r="C1465" s="26" t="s">
        <v>4618</v>
      </c>
      <c r="D1465" s="279" t="s">
        <v>4619</v>
      </c>
      <c r="E1465" s="524" t="s">
        <v>4620</v>
      </c>
    </row>
    <row r="1466" spans="1:5">
      <c r="A1466" s="286" t="str">
        <f t="shared" si="25"/>
        <v>Pseudomonas and Ticarcillin-Clavulanate</v>
      </c>
      <c r="B1466" s="26" t="s">
        <v>4621</v>
      </c>
      <c r="C1466" s="26" t="s">
        <v>4622</v>
      </c>
      <c r="D1466" s="279" t="s">
        <v>4623</v>
      </c>
      <c r="E1466" s="524" t="s">
        <v>4624</v>
      </c>
    </row>
    <row r="1467" spans="1:5">
      <c r="A1467" s="286" t="str">
        <f t="shared" si="25"/>
        <v>Pseudomonas and Imipenem</v>
      </c>
      <c r="B1467" s="26" t="s">
        <v>4625</v>
      </c>
      <c r="C1467" s="26" t="s">
        <v>4626</v>
      </c>
      <c r="D1467" s="279" t="s">
        <v>4627</v>
      </c>
      <c r="E1467" s="524" t="s">
        <v>4627</v>
      </c>
    </row>
    <row r="1468" spans="1:5">
      <c r="A1468" s="286" t="str">
        <f t="shared" si="25"/>
        <v>Pseudomonas and Meropenem</v>
      </c>
      <c r="B1468" s="26" t="s">
        <v>4628</v>
      </c>
      <c r="C1468" s="26" t="s">
        <v>4629</v>
      </c>
      <c r="D1468" s="279" t="s">
        <v>4630</v>
      </c>
      <c r="E1468" s="524" t="s">
        <v>4631</v>
      </c>
    </row>
    <row r="1469" spans="1:5">
      <c r="A1469" s="286" t="str">
        <f t="shared" si="25"/>
        <v>Pseudomonas and Doripenem</v>
      </c>
      <c r="B1469" s="26" t="s">
        <v>4632</v>
      </c>
      <c r="C1469" s="26" t="s">
        <v>4633</v>
      </c>
      <c r="D1469" s="279" t="s">
        <v>4634</v>
      </c>
      <c r="E1469" s="524" t="s">
        <v>4635</v>
      </c>
    </row>
    <row r="1470" spans="1:5" ht="27.6">
      <c r="A1470" s="286" t="str">
        <f t="shared" si="25"/>
        <v>PHENOTYPIC ESBL TESTING</v>
      </c>
      <c r="B1470" s="26" t="s">
        <v>748</v>
      </c>
      <c r="C1470" s="26" t="s">
        <v>4636</v>
      </c>
      <c r="D1470" s="164" t="s">
        <v>4637</v>
      </c>
      <c r="E1470" s="524" t="s">
        <v>4638</v>
      </c>
    </row>
    <row r="1471" spans="1:5" ht="96.6">
      <c r="A1471" s="286" t="str">
        <f t="shared" si="25"/>
        <v>NOTE: Questions 12.26 and 12.27 only apply to labs that do NOT use current cephalosporin and aztreonam breakpoints. If this lab uses current breakpoints, select NA for both questions and skip to question 12.28</v>
      </c>
      <c r="B1471" s="26" t="s">
        <v>4639</v>
      </c>
      <c r="C1471" s="26" t="s">
        <v>4640</v>
      </c>
      <c r="D1471" s="279" t="s">
        <v>4641</v>
      </c>
      <c r="E1471" s="524" t="s">
        <v>4642</v>
      </c>
    </row>
    <row r="1472" spans="1:5" ht="138">
      <c r="A1472" s="286" t="str">
        <f t="shared" si="25"/>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B1472" s="26" t="s">
        <v>4643</v>
      </c>
      <c r="C1472" s="26" t="s">
        <v>4644</v>
      </c>
      <c r="D1472" s="164" t="s">
        <v>4645</v>
      </c>
      <c r="E1472" s="524" t="s">
        <v>4646</v>
      </c>
    </row>
    <row r="1473" spans="1:5" ht="151.80000000000001">
      <c r="A1473" s="286" t="str">
        <f t="shared" si="25"/>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B1473" s="26" t="s">
        <v>4647</v>
      </c>
      <c r="C1473" s="26" t="s">
        <v>4648</v>
      </c>
      <c r="D1473" s="279" t="s">
        <v>4649</v>
      </c>
      <c r="E1473" s="524" t="s">
        <v>4650</v>
      </c>
    </row>
    <row r="1474" spans="1:5" ht="179.4">
      <c r="A1474" s="286" t="str">
        <f t="shared" si="25"/>
        <v>For labs that DO use current cephalosporin and aztreonam breakpoints, CLSI and EUCAST no longer recommend routine testing for ESBL phenotype. Furthermore, if ESBL testing is performed and the test is positive, interpretations for beta-lactam agents do NOT need to be changed from susceptible to resistant. Has the lab discontinued editing AST results based on the ESBL result?</v>
      </c>
      <c r="B1474" s="26" t="s">
        <v>4651</v>
      </c>
      <c r="C1474" s="26" t="s">
        <v>4652</v>
      </c>
      <c r="D1474" s="164" t="s">
        <v>4653</v>
      </c>
      <c r="E1474" s="524" t="s">
        <v>4654</v>
      </c>
    </row>
    <row r="1475" spans="1:5" ht="55.2">
      <c r="A1475" s="286" t="str">
        <f t="shared" si="25"/>
        <v>Note: Select NA for the question above if the lab does NOT use current cephalosporin and aztreonam breakpoints</v>
      </c>
      <c r="B1475" s="26" t="s">
        <v>4655</v>
      </c>
      <c r="C1475" s="26" t="s">
        <v>4656</v>
      </c>
      <c r="D1475" s="279" t="s">
        <v>4657</v>
      </c>
      <c r="E1475" s="524" t="s">
        <v>4658</v>
      </c>
    </row>
    <row r="1476" spans="1:5" ht="69">
      <c r="A1476" s="286" t="str">
        <f t="shared" ref="A1476:A1539" si="26">IF(langue=1,B1476,IF(langue=2,C1476,IF(langue=3,D1476,IF(langue=4,E1476,F1476))))</f>
        <v xml:space="preserve">Does the lab perform any phenotypic tests for ESBL production? Including disks, gradient strips, or a screening well in an automated system. </v>
      </c>
      <c r="B1476" s="26" t="s">
        <v>4659</v>
      </c>
      <c r="C1476" s="26" t="s">
        <v>4660</v>
      </c>
      <c r="D1476" s="164" t="s">
        <v>4661</v>
      </c>
      <c r="E1476" s="524" t="s">
        <v>4662</v>
      </c>
    </row>
    <row r="1477" spans="1:5" ht="27.6">
      <c r="A1477" s="286" t="str">
        <f t="shared" si="26"/>
        <v>If no, answer NA until Carbapenemase Testing Section</v>
      </c>
      <c r="B1477" s="26" t="s">
        <v>4663</v>
      </c>
      <c r="C1477" s="26" t="s">
        <v>4664</v>
      </c>
      <c r="D1477" s="279" t="s">
        <v>4665</v>
      </c>
      <c r="E1477" s="524" t="s">
        <v>4666</v>
      </c>
    </row>
    <row r="1478" spans="1:5" ht="69">
      <c r="A1478" s="286" t="str">
        <f t="shared" si="26"/>
        <v>Does the phenotypic ESBL method include testing both cefotaxime (or ceftriaxone) AND ceftazidime alone and in combination with clavulanic acid?</v>
      </c>
      <c r="B1478" s="26" t="s">
        <v>4667</v>
      </c>
      <c r="C1478" s="26" t="s">
        <v>4668</v>
      </c>
      <c r="D1478" s="164" t="s">
        <v>4669</v>
      </c>
      <c r="E1478" s="524" t="s">
        <v>4670</v>
      </c>
    </row>
    <row r="1479" spans="1:5" ht="41.4">
      <c r="A1479" s="286" t="str">
        <f t="shared" si="26"/>
        <v>Does the lab perform any genotypic tests for ESBL production? (e.g., PCR)</v>
      </c>
      <c r="B1479" s="26" t="s">
        <v>4671</v>
      </c>
      <c r="C1479" s="26" t="s">
        <v>4672</v>
      </c>
      <c r="D1479" s="279" t="s">
        <v>4673</v>
      </c>
      <c r="E1479" s="524" t="s">
        <v>4674</v>
      </c>
    </row>
    <row r="1480" spans="1:5" ht="55.2">
      <c r="A1480" s="286" t="str">
        <f t="shared" si="26"/>
        <v>Do records indicate that quality control for ESBL testing is done either on a weekly basis or each time the test is performed?</v>
      </c>
      <c r="B1480" s="26" t="s">
        <v>4675</v>
      </c>
      <c r="C1480" s="26" t="s">
        <v>4676</v>
      </c>
      <c r="D1480" s="279" t="s">
        <v>4677</v>
      </c>
      <c r="E1480" s="524" t="s">
        <v>4678</v>
      </c>
    </row>
    <row r="1481" spans="1:5" ht="96.6">
      <c r="A1481" s="286" t="str">
        <f t="shared" si="26"/>
        <v>Do records indicate that lab uses both positive and negative control organisms to QC the ESBL test in use? (A commonly used ESBL-positive strain is Klebsiella pneumoniae ATCC 700603)</v>
      </c>
      <c r="B1481" s="26" t="s">
        <v>4679</v>
      </c>
      <c r="C1481" s="26" t="s">
        <v>4680</v>
      </c>
      <c r="D1481" s="164" t="s">
        <v>4681</v>
      </c>
      <c r="E1481" s="524" t="s">
        <v>4682</v>
      </c>
    </row>
    <row r="1482" spans="1:5" ht="41.4">
      <c r="A1482" s="286" t="str">
        <f t="shared" si="26"/>
        <v>When an ESBL-positive is confirmed, is infection control notified by the lab?</v>
      </c>
      <c r="B1482" s="26" t="s">
        <v>4683</v>
      </c>
      <c r="C1482" s="26" t="s">
        <v>4684</v>
      </c>
      <c r="D1482" s="164" t="s">
        <v>4685</v>
      </c>
      <c r="E1482" s="524" t="s">
        <v>4686</v>
      </c>
    </row>
    <row r="1483" spans="1:5" ht="27.6">
      <c r="A1483" s="286" t="str">
        <f t="shared" si="26"/>
        <v>PHENOTYPIC CARBAPENEMASE TESTING</v>
      </c>
      <c r="B1483" s="26" t="s">
        <v>752</v>
      </c>
      <c r="C1483" s="26" t="s">
        <v>4687</v>
      </c>
      <c r="D1483" s="279" t="s">
        <v>4688</v>
      </c>
      <c r="E1483" s="524" t="s">
        <v>4689</v>
      </c>
    </row>
    <row r="1484" spans="1:5" ht="179.4">
      <c r="A1484" s="286" t="str">
        <f t="shared" si="26"/>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B1484" s="26" t="s">
        <v>4690</v>
      </c>
      <c r="C1484" s="26" t="s">
        <v>4691</v>
      </c>
      <c r="D1484" s="279" t="s">
        <v>4692</v>
      </c>
      <c r="E1484" s="524" t="s">
        <v>4693</v>
      </c>
    </row>
    <row r="1485" spans="1:5" ht="41.4">
      <c r="A1485" s="286" t="str">
        <f t="shared" si="26"/>
        <v>Note: Select NA if the lab uses current breakpoints</v>
      </c>
      <c r="B1485" s="26" t="s">
        <v>4694</v>
      </c>
      <c r="C1485" s="26" t="s">
        <v>4695</v>
      </c>
      <c r="D1485" s="279" t="s">
        <v>4696</v>
      </c>
      <c r="E1485" s="524" t="s">
        <v>4697</v>
      </c>
    </row>
    <row r="1486" spans="1:5" ht="165.6">
      <c r="A1486" s="286" t="str">
        <f t="shared" si="26"/>
        <v>For labs that DO use current carbapenem breakpoints, CLSI and EUCAST no longer recommend routine testing for carbapenemase production. Furthermore, if such testing is performed and the test is positive, interpretations for carbapenems do NOT need to be changed from susceptible to resistant. Has the lab discontinued editing AST results based on the carbapenemase result?</v>
      </c>
      <c r="B1486" s="26" t="s">
        <v>4698</v>
      </c>
      <c r="C1486" s="26" t="s">
        <v>4699</v>
      </c>
      <c r="D1486" s="164" t="s">
        <v>4700</v>
      </c>
      <c r="E1486" s="524" t="s">
        <v>4701</v>
      </c>
    </row>
    <row r="1487" spans="1:5" ht="41.4">
      <c r="A1487" s="286" t="str">
        <f t="shared" si="26"/>
        <v>Note: Select NA if the lab does NOT use current breakpoints</v>
      </c>
      <c r="B1487" s="26" t="s">
        <v>4702</v>
      </c>
      <c r="C1487" s="26" t="s">
        <v>4703</v>
      </c>
      <c r="D1487" s="279" t="s">
        <v>4704</v>
      </c>
      <c r="E1487" s="524" t="s">
        <v>4705</v>
      </c>
    </row>
    <row r="1488" spans="1:5" ht="55.2">
      <c r="A1488" s="286" t="str">
        <f t="shared" si="26"/>
        <v>Does the lab perform any of the following phenotypic tests for carbapenemase production?</v>
      </c>
      <c r="B1488" s="26" t="s">
        <v>4706</v>
      </c>
      <c r="C1488" s="26" t="s">
        <v>4707</v>
      </c>
      <c r="D1488" s="279" t="s">
        <v>4708</v>
      </c>
      <c r="E1488" s="524" t="s">
        <v>4709</v>
      </c>
    </row>
    <row r="1489" spans="1:6">
      <c r="A1489" s="286" t="str">
        <f t="shared" si="26"/>
        <v>Modified Hodge test</v>
      </c>
      <c r="B1489" s="26" t="s">
        <v>4710</v>
      </c>
      <c r="C1489" s="26" t="s">
        <v>4711</v>
      </c>
      <c r="D1489" s="279" t="s">
        <v>4712</v>
      </c>
      <c r="E1489" s="524" t="s">
        <v>4713</v>
      </c>
    </row>
    <row r="1490" spans="1:6" ht="41.4">
      <c r="A1490" s="286" t="str">
        <f t="shared" si="26"/>
        <v>Other disk method, e.g., combination disk test or double disk synergy</v>
      </c>
      <c r="B1490" s="26" t="s">
        <v>4714</v>
      </c>
      <c r="C1490" s="26" t="s">
        <v>4715</v>
      </c>
      <c r="D1490" s="164" t="s">
        <v>4716</v>
      </c>
      <c r="E1490" s="524" t="s">
        <v>4717</v>
      </c>
    </row>
    <row r="1491" spans="1:6" ht="41.4">
      <c r="A1491" s="286" t="str">
        <f t="shared" si="26"/>
        <v>MIC Strip test, e.g., Etest KPC, MBL or Liofilchem MRP/MBO, ETP/EBO</v>
      </c>
      <c r="B1491" s="26" t="s">
        <v>4718</v>
      </c>
      <c r="C1491" s="26" t="s">
        <v>4719</v>
      </c>
      <c r="D1491" s="164" t="s">
        <v>4720</v>
      </c>
      <c r="E1491" s="524" t="s">
        <v>4721</v>
      </c>
    </row>
    <row r="1492" spans="1:6" ht="27.6">
      <c r="A1492" s="286" t="str">
        <f t="shared" si="26"/>
        <v>Biochemical (colorimetric) test, e.g., CarbaNP, BCT, or β CARBA</v>
      </c>
      <c r="B1492" s="26" t="s">
        <v>4722</v>
      </c>
      <c r="C1492" s="26" t="s">
        <v>4723</v>
      </c>
      <c r="D1492" s="279" t="s">
        <v>4724</v>
      </c>
      <c r="E1492" s="524" t="s">
        <v>4725</v>
      </c>
    </row>
    <row r="1493" spans="1:6" ht="41.4">
      <c r="A1493" s="286" t="str">
        <f t="shared" si="26"/>
        <v>Chromogenic agar specific for carbapenemase producers</v>
      </c>
      <c r="B1493" s="26" t="s">
        <v>4726</v>
      </c>
      <c r="C1493" s="26" t="s">
        <v>4727</v>
      </c>
      <c r="D1493" s="279" t="s">
        <v>4728</v>
      </c>
      <c r="E1493" s="524" t="s">
        <v>4729</v>
      </c>
    </row>
    <row r="1494" spans="1:6" ht="27.6">
      <c r="A1494" s="286" t="str">
        <f t="shared" si="26"/>
        <v>Modified carbapenem inactivation method (MCIM)</v>
      </c>
      <c r="B1494" s="26" t="s">
        <v>4730</v>
      </c>
      <c r="C1494" s="26" t="s">
        <v>4731</v>
      </c>
      <c r="D1494" s="279" t="s">
        <v>4732</v>
      </c>
      <c r="E1494" s="524" t="s">
        <v>4733</v>
      </c>
    </row>
    <row r="1495" spans="1:6" ht="55.2">
      <c r="A1495" s="286" t="str">
        <f t="shared" si="26"/>
        <v>Does the lab perform any genotypic tests for carbapenemase production? (e.g., PCR, GeneXpert, etc.)</v>
      </c>
      <c r="B1495" s="26" t="s">
        <v>4734</v>
      </c>
      <c r="C1495" s="26" t="s">
        <v>4735</v>
      </c>
      <c r="D1495" s="279" t="s">
        <v>4736</v>
      </c>
      <c r="E1495" s="524" t="s">
        <v>4737</v>
      </c>
    </row>
    <row r="1496" spans="1:6" ht="55.2">
      <c r="A1496" s="286" t="str">
        <f t="shared" si="26"/>
        <v xml:space="preserve">Do records indicate that quality control is done each time carbapenemase testing is performed? </v>
      </c>
      <c r="B1496" s="26" t="s">
        <v>4738</v>
      </c>
      <c r="C1496" s="26" t="s">
        <v>4739</v>
      </c>
      <c r="D1496" s="279" t="s">
        <v>4740</v>
      </c>
      <c r="E1496" s="524" t="s">
        <v>4741</v>
      </c>
    </row>
    <row r="1497" spans="1:6" ht="55.2">
      <c r="A1497" s="286" t="str">
        <f t="shared" si="26"/>
        <v xml:space="preserve">Do records indicate that lab uses both positive and negative control organisms to QC the carbapenemase test in use? </v>
      </c>
      <c r="B1497" s="26" t="s">
        <v>4742</v>
      </c>
      <c r="C1497" s="26" t="s">
        <v>4743</v>
      </c>
      <c r="D1497" s="164" t="s">
        <v>4744</v>
      </c>
      <c r="E1497" s="524" t="s">
        <v>4745</v>
      </c>
    </row>
    <row r="1498" spans="1:6" ht="69">
      <c r="A1498" s="286" t="str">
        <f t="shared" si="26"/>
        <v>Commonly used carbapenemase positive strains include K. pneumoniae ATCC BAA-1705, K. pneumoniae CCUG 56233, and K. pneumoniae NCTC 13438</v>
      </c>
      <c r="B1498" s="26" t="s">
        <v>4746</v>
      </c>
      <c r="C1498" s="26" t="s">
        <v>4747</v>
      </c>
      <c r="D1498" s="279" t="s">
        <v>4748</v>
      </c>
      <c r="E1498" s="524" t="s">
        <v>4749</v>
      </c>
    </row>
    <row r="1499" spans="1:6" ht="41.4">
      <c r="A1499" s="286" t="str">
        <f t="shared" si="26"/>
        <v>When a carbapenemase producer is detected, is it noted on the final report to the clinician?</v>
      </c>
      <c r="B1499" s="26" t="s">
        <v>4750</v>
      </c>
      <c r="C1499" s="26" t="s">
        <v>4751</v>
      </c>
      <c r="D1499" s="164" t="s">
        <v>4752</v>
      </c>
      <c r="E1499" s="524" t="s">
        <v>4753</v>
      </c>
    </row>
    <row r="1500" spans="1:6" ht="55.2">
      <c r="A1500" s="286" t="str">
        <f t="shared" si="26"/>
        <v>When a carbapenemase producer is detected, is infection control notified by the lab?</v>
      </c>
      <c r="B1500" s="26" t="s">
        <v>4754</v>
      </c>
      <c r="C1500" s="26" t="s">
        <v>4755</v>
      </c>
      <c r="D1500" s="164" t="s">
        <v>4756</v>
      </c>
      <c r="E1500" s="524" t="s">
        <v>4757</v>
      </c>
    </row>
    <row r="1501" spans="1:6">
      <c r="A1501" s="286" t="str">
        <f t="shared" si="26"/>
        <v>COLISTIN TESTING</v>
      </c>
      <c r="B1501" s="26" t="s">
        <v>756</v>
      </c>
      <c r="C1501" s="26" t="s">
        <v>4758</v>
      </c>
      <c r="D1501" s="279" t="s">
        <v>4759</v>
      </c>
      <c r="E1501" s="524" t="s">
        <v>4760</v>
      </c>
    </row>
    <row r="1502" spans="1:6" s="468" customFormat="1" ht="41.4">
      <c r="A1502" s="465" t="str">
        <f t="shared" si="26"/>
        <v>Does the lab perform colistin AST? (Not scored. If No, skip to next section.)</v>
      </c>
      <c r="B1502" s="466" t="s">
        <v>4761</v>
      </c>
      <c r="C1502" s="466" t="s">
        <v>4762</v>
      </c>
      <c r="D1502" s="467" t="s">
        <v>4763</v>
      </c>
      <c r="E1502" s="532" t="s">
        <v>4764</v>
      </c>
      <c r="F1502" s="545"/>
    </row>
    <row r="1503" spans="1:6" ht="41.4">
      <c r="A1503" s="286" t="str">
        <f t="shared" si="26"/>
        <v>Which methods does the lab use for colistin AST? (Check all that apply)</v>
      </c>
      <c r="B1503" s="26" t="s">
        <v>4765</v>
      </c>
      <c r="C1503" s="26" t="s">
        <v>4766</v>
      </c>
      <c r="D1503" s="279" t="s">
        <v>4767</v>
      </c>
      <c r="E1503" s="524" t="s">
        <v>4768</v>
      </c>
    </row>
    <row r="1504" spans="1:6">
      <c r="A1504" s="286" t="str">
        <f t="shared" si="26"/>
        <v>Disk diffusion</v>
      </c>
      <c r="B1504" s="26" t="s">
        <v>231</v>
      </c>
      <c r="C1504" s="26" t="s">
        <v>232</v>
      </c>
      <c r="D1504" s="279" t="s">
        <v>233</v>
      </c>
      <c r="E1504" s="524" t="s">
        <v>4769</v>
      </c>
    </row>
    <row r="1505" spans="1:5" ht="27.6">
      <c r="A1505" s="286" t="str">
        <f t="shared" si="26"/>
        <v>Gradient strip (e.g., Etest/Liofilchem)</v>
      </c>
      <c r="B1505" s="26" t="s">
        <v>4770</v>
      </c>
      <c r="C1505" s="26" t="s">
        <v>4771</v>
      </c>
      <c r="D1505" s="279" t="s">
        <v>237</v>
      </c>
      <c r="E1505" s="524" t="s">
        <v>4772</v>
      </c>
    </row>
    <row r="1506" spans="1:5" ht="27.6">
      <c r="A1506" s="286" t="str">
        <f t="shared" si="26"/>
        <v>Automated instrument (e.g., Vitek/Phoenix)</v>
      </c>
      <c r="B1506" s="26" t="s">
        <v>4773</v>
      </c>
      <c r="C1506" s="26" t="s">
        <v>4774</v>
      </c>
      <c r="D1506" s="279" t="s">
        <v>4775</v>
      </c>
      <c r="E1506" s="524" t="s">
        <v>4776</v>
      </c>
    </row>
    <row r="1507" spans="1:5" ht="27.6">
      <c r="A1507" s="286" t="str">
        <f t="shared" si="26"/>
        <v>Broth microdilution (BMD) with Polysorbate 80</v>
      </c>
      <c r="B1507" s="26" t="s">
        <v>4777</v>
      </c>
      <c r="C1507" s="26" t="s">
        <v>4778</v>
      </c>
      <c r="D1507" s="164" t="s">
        <v>4779</v>
      </c>
      <c r="E1507" s="524" t="s">
        <v>4780</v>
      </c>
    </row>
    <row r="1508" spans="1:5" ht="27.6">
      <c r="A1508" s="286" t="str">
        <f t="shared" si="26"/>
        <v>Broth microdilution (BMD) without Polysorbate 80</v>
      </c>
      <c r="B1508" s="26" t="s">
        <v>4781</v>
      </c>
      <c r="C1508" s="26" t="s">
        <v>4782</v>
      </c>
      <c r="D1508" s="164" t="s">
        <v>4783</v>
      </c>
      <c r="E1508" s="524" t="s">
        <v>4784</v>
      </c>
    </row>
    <row r="1509" spans="1:5" ht="27.6">
      <c r="A1509" s="286" t="str">
        <f t="shared" si="26"/>
        <v>Colistin Broth Disk Elution (CBDE) Test</v>
      </c>
      <c r="B1509" s="26" t="s">
        <v>4785</v>
      </c>
      <c r="C1509" s="26" t="s">
        <v>4786</v>
      </c>
      <c r="D1509" s="164" t="s">
        <v>4787</v>
      </c>
      <c r="E1509" s="524" t="s">
        <v>4788</v>
      </c>
    </row>
    <row r="1510" spans="1:5" ht="27.6">
      <c r="A1510" s="286" t="str">
        <f t="shared" si="26"/>
        <v>Agar dilution (Colistin Agar Test)</v>
      </c>
      <c r="B1510" s="26" t="s">
        <v>4789</v>
      </c>
      <c r="C1510" s="20" t="s">
        <v>248</v>
      </c>
      <c r="D1510" s="279" t="s">
        <v>249</v>
      </c>
      <c r="E1510" s="524" t="s">
        <v>4790</v>
      </c>
    </row>
    <row r="1511" spans="1:5" ht="55.2">
      <c r="A1511" s="286" t="str">
        <f t="shared" si="26"/>
        <v>Do records indicate that quality control for colistin AST is performed on either a weekly basis or each time the test is performed?</v>
      </c>
      <c r="B1511" s="26" t="s">
        <v>4791</v>
      </c>
      <c r="C1511" s="26" t="s">
        <v>4792</v>
      </c>
      <c r="D1511" s="279" t="s">
        <v>4793</v>
      </c>
      <c r="E1511" s="524" t="s">
        <v>4794</v>
      </c>
    </row>
    <row r="1512" spans="1:5" ht="69">
      <c r="A1512" s="286" t="str">
        <f t="shared" si="26"/>
        <v>Do records indicate that lab uses appropriate organisms to QC the colistin test in use? (P. aeruginosa 27853 AND E. coli NCTC 13846 or E. coli AR Bank #0349).</v>
      </c>
      <c r="B1512" s="26" t="s">
        <v>4795</v>
      </c>
      <c r="C1512" s="26" t="s">
        <v>4796</v>
      </c>
      <c r="D1512" s="279" t="s">
        <v>4797</v>
      </c>
      <c r="E1512" s="524" t="s">
        <v>4798</v>
      </c>
    </row>
    <row r="1513" spans="1:5" ht="41.4">
      <c r="A1513" s="286" t="str">
        <f t="shared" si="26"/>
        <v>When colistin resistance is detected, are any of the following notified?</v>
      </c>
      <c r="B1513" s="26" t="s">
        <v>4799</v>
      </c>
      <c r="C1513" s="26" t="s">
        <v>4800</v>
      </c>
      <c r="D1513" s="279" t="s">
        <v>4801</v>
      </c>
      <c r="E1513" s="524" t="s">
        <v>4802</v>
      </c>
    </row>
    <row r="1514" spans="1:5">
      <c r="A1514" s="286" t="str">
        <f t="shared" si="26"/>
        <v>Lab supervisor</v>
      </c>
      <c r="B1514" s="26" t="s">
        <v>4803</v>
      </c>
      <c r="C1514" s="26" t="s">
        <v>4804</v>
      </c>
      <c r="D1514" s="279" t="s">
        <v>4805</v>
      </c>
      <c r="E1514" s="524" t="s">
        <v>4806</v>
      </c>
    </row>
    <row r="1515" spans="1:5">
      <c r="A1515" s="286" t="str">
        <f t="shared" si="26"/>
        <v>Infectious Disease team</v>
      </c>
      <c r="B1515" s="26" t="s">
        <v>4807</v>
      </c>
      <c r="C1515" s="26" t="s">
        <v>4808</v>
      </c>
      <c r="D1515" s="279" t="s">
        <v>4809</v>
      </c>
      <c r="E1515" s="524" t="s">
        <v>4810</v>
      </c>
    </row>
    <row r="1516" spans="1:5">
      <c r="A1516" s="286" t="str">
        <f t="shared" si="26"/>
        <v>Infection Control team</v>
      </c>
      <c r="B1516" s="26" t="s">
        <v>4811</v>
      </c>
      <c r="C1516" s="26" t="s">
        <v>4812</v>
      </c>
      <c r="D1516" s="279" t="s">
        <v>4813</v>
      </c>
      <c r="E1516" s="524" t="s">
        <v>4814</v>
      </c>
    </row>
    <row r="1517" spans="1:5" ht="69">
      <c r="A1517" s="286" t="str">
        <f t="shared" si="26"/>
        <v>When colistin resistance is detected, is the isolate sent to a reference lab for molecular characterization (e.g., testing for mcr genes)?</v>
      </c>
      <c r="B1517" s="26" t="s">
        <v>4815</v>
      </c>
      <c r="C1517" s="26" t="s">
        <v>4816</v>
      </c>
      <c r="D1517" s="279" t="s">
        <v>4817</v>
      </c>
      <c r="E1517" s="524" t="s">
        <v>4818</v>
      </c>
    </row>
    <row r="1518" spans="1:5" ht="69">
      <c r="A1518" s="286" t="str">
        <f t="shared" si="26"/>
        <v xml:space="preserve">If the lab uses broth microdilution for colistin AST, is colistin sulfate used, not colistin methane sulfonate (sulfomethate)? </v>
      </c>
      <c r="B1518" s="26" t="s">
        <v>4819</v>
      </c>
      <c r="C1518" s="26" t="s">
        <v>4820</v>
      </c>
      <c r="D1518" s="164" t="s">
        <v>4821</v>
      </c>
      <c r="E1518" s="524" t="s">
        <v>4822</v>
      </c>
    </row>
    <row r="1519" spans="1:5" ht="55.2">
      <c r="A1519" s="286" t="str">
        <f t="shared" si="26"/>
        <v>The methane sulfonate derivative of colistin ("cms") is an inactive pro-drug that breaks down slowly in solution and therefore cannot be used for AST.</v>
      </c>
      <c r="B1519" s="26" t="s">
        <v>4823</v>
      </c>
      <c r="C1519" s="26" t="s">
        <v>4824</v>
      </c>
      <c r="D1519" s="279" t="s">
        <v>4825</v>
      </c>
      <c r="E1519" s="524" t="s">
        <v>4826</v>
      </c>
    </row>
    <row r="1520" spans="1:5" ht="55.2">
      <c r="A1520" s="286" t="str">
        <f t="shared" si="26"/>
        <v>If the lab performs broth microdilution (BMD) for colistin AST, is cation-adjusted Mueller Hinton broth used?</v>
      </c>
      <c r="B1520" s="26" t="s">
        <v>4827</v>
      </c>
      <c r="C1520" s="26" t="s">
        <v>4828</v>
      </c>
      <c r="D1520" s="164" t="s">
        <v>4829</v>
      </c>
      <c r="E1520" s="524" t="s">
        <v>4830</v>
      </c>
    </row>
    <row r="1521" spans="1:5" ht="27.6">
      <c r="A1521" s="286" t="str">
        <f t="shared" si="26"/>
        <v>Answer NA if the lab does not perform BMD</v>
      </c>
      <c r="B1521" s="26" t="s">
        <v>4831</v>
      </c>
      <c r="C1521" s="26" t="s">
        <v>4832</v>
      </c>
      <c r="D1521" s="279" t="s">
        <v>4833</v>
      </c>
      <c r="E1521" s="524" t="s">
        <v>4834</v>
      </c>
    </row>
    <row r="1522" spans="1:5" ht="96.6">
      <c r="A1522" s="286" t="str">
        <f t="shared" si="26"/>
        <v>Do laboratory staff understand the current limitations associated with colistin AST? (i.e., the risk of false susceptible results when using disk diffusion, gradient strip, or automated methods.)</v>
      </c>
      <c r="B1522" s="26" t="s">
        <v>4835</v>
      </c>
      <c r="C1522" s="26" t="s">
        <v>4836</v>
      </c>
      <c r="D1522" s="164" t="s">
        <v>4837</v>
      </c>
      <c r="E1522" s="524" t="s">
        <v>4838</v>
      </c>
    </row>
    <row r="1523" spans="1:5" ht="55.2">
      <c r="A1523" s="286" t="str">
        <f t="shared" si="26"/>
        <v>Has the lab educated the medical staff about the current limitations and risks associated with colistin AST?</v>
      </c>
      <c r="B1523" s="26" t="s">
        <v>4839</v>
      </c>
      <c r="C1523" s="26" t="s">
        <v>4840</v>
      </c>
      <c r="D1523" s="279" t="s">
        <v>4841</v>
      </c>
      <c r="E1523" s="524" t="s">
        <v>4842</v>
      </c>
    </row>
    <row r="1524" spans="1:5" ht="27.6">
      <c r="A1524" s="286" t="str">
        <f t="shared" si="26"/>
        <v>EXPERT RULES FOR STAPHYLOCOCCUS AUREUS</v>
      </c>
      <c r="B1524" s="26" t="s">
        <v>4843</v>
      </c>
      <c r="C1524" s="26" t="s">
        <v>4844</v>
      </c>
      <c r="D1524" s="164" t="s">
        <v>4845</v>
      </c>
      <c r="E1524" s="524" t="s">
        <v>4846</v>
      </c>
    </row>
    <row r="1525" spans="1:5" ht="41.4">
      <c r="A1525" s="286" t="str">
        <f t="shared" si="26"/>
        <v xml:space="preserve">Does the lab test S. aureus isolates against penicillin? </v>
      </c>
      <c r="B1525" s="26" t="s">
        <v>4847</v>
      </c>
      <c r="C1525" s="26" t="s">
        <v>4848</v>
      </c>
      <c r="D1525" s="164" t="s">
        <v>4849</v>
      </c>
      <c r="E1525" s="524" t="s">
        <v>4850</v>
      </c>
    </row>
    <row r="1526" spans="1:5" ht="27.6">
      <c r="A1526" s="286" t="str">
        <f t="shared" si="26"/>
        <v>If no, answer NA to next question</v>
      </c>
      <c r="B1526" s="26" t="s">
        <v>4851</v>
      </c>
      <c r="C1526" s="26" t="s">
        <v>4852</v>
      </c>
      <c r="D1526" s="279" t="s">
        <v>4853</v>
      </c>
      <c r="E1526" s="524" t="s">
        <v>4854</v>
      </c>
    </row>
    <row r="1527" spans="1:5" ht="96.6">
      <c r="A1527" s="286" t="str">
        <f t="shared" si="26"/>
        <v>Are S. aureus isolates with penicillin zones sizes or MICs in the susceptible range tested for β-lactamase production using the zone-edge test before being reported as penicillin susceptible?</v>
      </c>
      <c r="B1527" s="26" t="s">
        <v>4855</v>
      </c>
      <c r="C1527" s="26" t="s">
        <v>4856</v>
      </c>
      <c r="D1527" s="279" t="s">
        <v>4857</v>
      </c>
      <c r="E1527" s="524" t="s">
        <v>4858</v>
      </c>
    </row>
    <row r="1528" spans="1:5" ht="27.6">
      <c r="A1528" s="286" t="str">
        <f t="shared" si="26"/>
        <v>Does the lab use Oxacillin disks to test for MRSA?</v>
      </c>
      <c r="B1528" s="26" t="s">
        <v>4859</v>
      </c>
      <c r="C1528" s="26" t="s">
        <v>4860</v>
      </c>
      <c r="D1528" s="279" t="s">
        <v>4861</v>
      </c>
      <c r="E1528" s="524" t="s">
        <v>4862</v>
      </c>
    </row>
    <row r="1529" spans="1:5" ht="69">
      <c r="A1529" s="286" t="str">
        <f t="shared" si="26"/>
        <v xml:space="preserve">When oxacillin and cefoxitin results are discrepant for S. aureus (one is S and one is R), how does the lab report oxacillin? </v>
      </c>
      <c r="B1529" s="26" t="s">
        <v>4863</v>
      </c>
      <c r="C1529" s="26" t="s">
        <v>4864</v>
      </c>
      <c r="D1529" s="279" t="s">
        <v>4865</v>
      </c>
      <c r="E1529" s="524" t="s">
        <v>4866</v>
      </c>
    </row>
    <row r="1530" spans="1:5" ht="138">
      <c r="A1530" s="286" t="str">
        <f t="shared" si="26"/>
        <v>1: Report the oxacillin interpretation, regardless of what the cefoxitin result is - 2: Report the cefoxitin interpretation, regardless of what the oxacillin result is - 3: If either drug tests R, report the result as R - NA: the lab only tests one of these drugs, not both</v>
      </c>
      <c r="B1530" s="26" t="s">
        <v>4867</v>
      </c>
      <c r="C1530" s="26" t="s">
        <v>4868</v>
      </c>
      <c r="D1530" s="279" t="s">
        <v>4869</v>
      </c>
      <c r="E1530" s="524" t="s">
        <v>4870</v>
      </c>
    </row>
    <row r="1531" spans="1:5" ht="55.2">
      <c r="A1531" s="286" t="str">
        <f t="shared" si="26"/>
        <v>Does the lab perform S. aureus AST on any beta-lactam antibiotics other than penicillin, oxacillin, cefoxitin, or ceftaroline?</v>
      </c>
      <c r="B1531" s="26" t="s">
        <v>4871</v>
      </c>
      <c r="C1531" s="26" t="s">
        <v>4872</v>
      </c>
      <c r="D1531" s="164" t="s">
        <v>4873</v>
      </c>
      <c r="E1531" s="524" t="s">
        <v>4874</v>
      </c>
    </row>
    <row r="1532" spans="1:5" ht="69">
      <c r="A1532" s="286" t="str">
        <f t="shared" si="26"/>
        <v>Does the lab use vancomycin disks to test for VISA/VRSA?</v>
      </c>
      <c r="B1532" s="26" t="s">
        <v>4875</v>
      </c>
      <c r="C1532" s="26" t="s">
        <v>4876</v>
      </c>
      <c r="D1532" s="164" t="s">
        <v>4877</v>
      </c>
      <c r="E1532" s="524" t="s">
        <v>4878</v>
      </c>
    </row>
    <row r="1533" spans="1:5" ht="69">
      <c r="A1533" s="286" t="str">
        <f t="shared" si="26"/>
        <v>When a manual MIC method is used to test vancomycin against Staph aureus, is the test incubated for a full 24 hours before reading the result?</v>
      </c>
      <c r="B1533" s="26" t="s">
        <v>4879</v>
      </c>
      <c r="C1533" s="26" t="s">
        <v>4880</v>
      </c>
      <c r="D1533" s="164" t="s">
        <v>4881</v>
      </c>
      <c r="E1533" s="524" t="s">
        <v>4882</v>
      </c>
    </row>
    <row r="1534" spans="1:5" ht="27.6">
      <c r="A1534" s="286" t="str">
        <f t="shared" si="26"/>
        <v>Answer NA if manual MIC method not used</v>
      </c>
      <c r="B1534" s="26" t="s">
        <v>4883</v>
      </c>
      <c r="C1534" s="26" t="s">
        <v>4884</v>
      </c>
      <c r="D1534" s="279" t="s">
        <v>4885</v>
      </c>
      <c r="E1534" s="524" t="s">
        <v>4886</v>
      </c>
    </row>
    <row r="1535" spans="1:5" ht="82.8">
      <c r="A1535" s="286" t="str">
        <f t="shared" si="26"/>
        <v>When a vancomycin MIC &gt;8 is detected for S. aureus, is the isolate sent to a referral lab for confirmation testing and further characterization?</v>
      </c>
      <c r="B1535" s="26" t="s">
        <v>4887</v>
      </c>
      <c r="C1535" s="26" t="s">
        <v>4888</v>
      </c>
      <c r="D1535" s="279" t="s">
        <v>4889</v>
      </c>
      <c r="E1535" s="524" t="s">
        <v>4890</v>
      </c>
    </row>
    <row r="1536" spans="1:5" ht="27.6">
      <c r="A1536" s="286" t="str">
        <f t="shared" si="26"/>
        <v xml:space="preserve">Answer NA if vancomycin not tested </v>
      </c>
      <c r="B1536" s="26" t="s">
        <v>4891</v>
      </c>
      <c r="C1536" s="26" t="s">
        <v>4892</v>
      </c>
      <c r="D1536" s="279" t="s">
        <v>4893</v>
      </c>
      <c r="E1536" s="524" t="s">
        <v>4894</v>
      </c>
    </row>
    <row r="1537" spans="1:5" ht="69">
      <c r="A1537" s="286" t="str">
        <f t="shared" si="26"/>
        <v>Are S. aureus that are resistant to Erythromycin and susceptible or intermediate to Clindamycin tested for inducible clindamycin resistance?</v>
      </c>
      <c r="B1537" s="26" t="s">
        <v>4895</v>
      </c>
      <c r="C1537" s="26" t="s">
        <v>4896</v>
      </c>
      <c r="D1537" s="279" t="s">
        <v>4897</v>
      </c>
      <c r="E1537" s="524" t="s">
        <v>4898</v>
      </c>
    </row>
    <row r="1538" spans="1:5" ht="41.4">
      <c r="A1538" s="286" t="str">
        <f t="shared" si="26"/>
        <v>GENERAL CONSIDERATIONS FOR STREPTOCOCCUS PNEUMONIAE</v>
      </c>
      <c r="B1538" s="26" t="s">
        <v>4899</v>
      </c>
      <c r="C1538" s="26" t="s">
        <v>4900</v>
      </c>
      <c r="D1538" s="279" t="s">
        <v>4901</v>
      </c>
      <c r="E1538" s="524" t="s">
        <v>4902</v>
      </c>
    </row>
    <row r="1539" spans="1:5" ht="55.2">
      <c r="A1539" s="286" t="str">
        <f t="shared" si="26"/>
        <v>If lab does not perform disk or Etest for S. pneumoniae AST, select N/A for all answers</v>
      </c>
      <c r="B1539" s="26" t="s">
        <v>4903</v>
      </c>
      <c r="C1539" s="26" t="s">
        <v>4904</v>
      </c>
      <c r="D1539" s="279" t="s">
        <v>4905</v>
      </c>
      <c r="E1539" s="524" t="s">
        <v>4906</v>
      </c>
    </row>
    <row r="1540" spans="1:5" ht="27.6">
      <c r="A1540" s="286" t="str">
        <f t="shared" ref="A1540:A1603" si="27">IF(langue=1,B1540,IF(langue=2,C1540,IF(langue=3,D1540,IF(langue=4,E1540,F1540))))</f>
        <v>Observe a S. pneumoniae AST plate being read</v>
      </c>
      <c r="B1540" s="26" t="s">
        <v>4907</v>
      </c>
      <c r="C1540" s="26" t="s">
        <v>4908</v>
      </c>
      <c r="D1540" s="164" t="s">
        <v>4909</v>
      </c>
      <c r="E1540" s="524" t="s">
        <v>4910</v>
      </c>
    </row>
    <row r="1541" spans="1:5" ht="27.6">
      <c r="A1541" s="286" t="str">
        <f t="shared" si="27"/>
        <v>Is the upper surface of the agar read with the cover removed?</v>
      </c>
      <c r="B1541" s="26" t="s">
        <v>4911</v>
      </c>
      <c r="C1541" s="26" t="s">
        <v>4912</v>
      </c>
      <c r="D1541" s="279" t="s">
        <v>4913</v>
      </c>
      <c r="E1541" s="524" t="s">
        <v>4914</v>
      </c>
    </row>
    <row r="1542" spans="1:5" ht="27.6">
      <c r="A1542" s="286" t="str">
        <f t="shared" si="27"/>
        <v>Is the plate illuminated adequately with reflected light?</v>
      </c>
      <c r="B1542" s="26" t="s">
        <v>4350</v>
      </c>
      <c r="C1542" s="26" t="s">
        <v>4915</v>
      </c>
      <c r="D1542" s="279" t="s">
        <v>4352</v>
      </c>
      <c r="E1542" s="524" t="s">
        <v>4916</v>
      </c>
    </row>
    <row r="1543" spans="1:5" ht="41.4">
      <c r="A1543" s="286" t="str">
        <f t="shared" si="27"/>
        <v>Are zones measured where growth is inhibited (as opposed to the zone of hemolysis)?</v>
      </c>
      <c r="B1543" s="26" t="s">
        <v>4917</v>
      </c>
      <c r="C1543" s="26" t="s">
        <v>4918</v>
      </c>
      <c r="D1543" s="164" t="s">
        <v>4919</v>
      </c>
      <c r="E1543" s="524" t="s">
        <v>4920</v>
      </c>
    </row>
    <row r="1544" spans="1:5" ht="41.4">
      <c r="A1544" s="286" t="str">
        <f t="shared" si="27"/>
        <v>Are there no more than 4 disks per 100mm plate or 9 disks per 150mm plate?</v>
      </c>
      <c r="B1544" s="26" t="s">
        <v>4921</v>
      </c>
      <c r="C1544" s="26" t="s">
        <v>4922</v>
      </c>
      <c r="D1544" s="279" t="s">
        <v>4923</v>
      </c>
      <c r="E1544" s="524" t="s">
        <v>4924</v>
      </c>
    </row>
    <row r="1545" spans="1:5" ht="110.4">
      <c r="A1545" s="286" t="str">
        <f t="shared" si="27"/>
        <v>If the lab uses an oxacillin disk (1ug) to screen for penicillin resistance in Strep. pneumoniae, what does the lab’s SOP instruct when the zone size measures &lt;19? (Referring to penicillin G or Benzylpenicillin, the IV formulation)</v>
      </c>
      <c r="B1545" s="26" t="s">
        <v>4925</v>
      </c>
      <c r="C1545" s="26" t="s">
        <v>4926</v>
      </c>
      <c r="D1545" s="279" t="s">
        <v>4927</v>
      </c>
      <c r="E1545" s="524" t="s">
        <v>4928</v>
      </c>
    </row>
    <row r="1546" spans="1:5" ht="69">
      <c r="A1546" s="286" t="str">
        <f t="shared" si="27"/>
        <v>1: Report penicillin resistant - 2: Perform additional testing using a penicillin MIC method - NA: lab does not perform oxacillin screen</v>
      </c>
      <c r="B1546" s="26" t="s">
        <v>4929</v>
      </c>
      <c r="C1546" s="26" t="s">
        <v>4930</v>
      </c>
      <c r="D1546" s="164" t="s">
        <v>4931</v>
      </c>
      <c r="E1546" s="524" t="s">
        <v>4932</v>
      </c>
    </row>
    <row r="1547" spans="1:5" ht="27.6">
      <c r="A1547" s="286" t="str">
        <f t="shared" si="27"/>
        <v>EXPERT RULES FOR STREPTOCOCCUS PNEUMONIAE</v>
      </c>
      <c r="B1547" s="26" t="s">
        <v>4933</v>
      </c>
      <c r="C1547" s="26" t="s">
        <v>4934</v>
      </c>
      <c r="D1547" s="279" t="s">
        <v>4935</v>
      </c>
      <c r="E1547" s="524" t="s">
        <v>4936</v>
      </c>
    </row>
    <row r="1548" spans="1:5" ht="41.4">
      <c r="A1548" s="286" t="str">
        <f t="shared" si="27"/>
        <v>Does the lab perform AST for S.pneumoniae? (Not scored. If No, skip to next section.)</v>
      </c>
      <c r="B1548" s="26" t="s">
        <v>4937</v>
      </c>
      <c r="C1548" s="26" t="s">
        <v>4938</v>
      </c>
      <c r="D1548" s="279" t="s">
        <v>4939</v>
      </c>
      <c r="E1548" s="524" t="s">
        <v>4940</v>
      </c>
    </row>
    <row r="1549" spans="1:5" ht="41.4">
      <c r="A1549" s="286" t="str">
        <f t="shared" si="27"/>
        <v>Does the lab use the disk diffusion method to test any of the following antibiotics against S.pneumo?</v>
      </c>
      <c r="B1549" s="26" t="s">
        <v>4941</v>
      </c>
      <c r="C1549" s="26" t="s">
        <v>4942</v>
      </c>
      <c r="D1549" s="279" t="s">
        <v>4943</v>
      </c>
      <c r="E1549" s="524" t="s">
        <v>4944</v>
      </c>
    </row>
    <row r="1550" spans="1:5">
      <c r="A1550" s="286" t="str">
        <f t="shared" si="27"/>
        <v>Penicillin</v>
      </c>
      <c r="B1550" s="26" t="s">
        <v>4945</v>
      </c>
      <c r="C1550" s="26" t="s">
        <v>4946</v>
      </c>
      <c r="D1550" s="279" t="s">
        <v>4947</v>
      </c>
      <c r="E1550" s="524" t="s">
        <v>4947</v>
      </c>
    </row>
    <row r="1551" spans="1:5">
      <c r="A1551" s="286" t="str">
        <f t="shared" si="27"/>
        <v>Amoxicillin</v>
      </c>
      <c r="B1551" s="26" t="s">
        <v>4948</v>
      </c>
      <c r="C1551" s="26" t="s">
        <v>4949</v>
      </c>
      <c r="D1551" s="279" t="s">
        <v>4950</v>
      </c>
      <c r="E1551" s="524" t="s">
        <v>4950</v>
      </c>
    </row>
    <row r="1552" spans="1:5">
      <c r="A1552" s="286" t="str">
        <f t="shared" si="27"/>
        <v>Ampicillin</v>
      </c>
      <c r="B1552" s="26" t="s">
        <v>4951</v>
      </c>
      <c r="C1552" s="26" t="s">
        <v>4952</v>
      </c>
      <c r="D1552" s="279" t="s">
        <v>4953</v>
      </c>
      <c r="E1552" s="524" t="s">
        <v>4953</v>
      </c>
    </row>
    <row r="1553" spans="1:5">
      <c r="A1553" s="286" t="str">
        <f t="shared" si="27"/>
        <v>Cefotaxime</v>
      </c>
      <c r="B1553" s="26" t="s">
        <v>4954</v>
      </c>
      <c r="C1553" s="26" t="s">
        <v>4955</v>
      </c>
      <c r="D1553" s="279" t="s">
        <v>4956</v>
      </c>
      <c r="E1553" s="524" t="s">
        <v>4956</v>
      </c>
    </row>
    <row r="1554" spans="1:5">
      <c r="A1554" s="286" t="str">
        <f t="shared" si="27"/>
        <v>Ceftriaxone</v>
      </c>
      <c r="B1554" s="26" t="s">
        <v>4957</v>
      </c>
      <c r="C1554" s="26" t="s">
        <v>4957</v>
      </c>
      <c r="D1554" s="279" t="s">
        <v>4958</v>
      </c>
      <c r="E1554" s="524" t="s">
        <v>4958</v>
      </c>
    </row>
    <row r="1555" spans="1:5">
      <c r="A1555" s="286" t="str">
        <f t="shared" si="27"/>
        <v>Cefuroxime</v>
      </c>
      <c r="B1555" s="26" t="s">
        <v>4959</v>
      </c>
      <c r="C1555" s="26" t="s">
        <v>4960</v>
      </c>
      <c r="D1555" s="279" t="s">
        <v>4961</v>
      </c>
      <c r="E1555" s="524" t="s">
        <v>4959</v>
      </c>
    </row>
    <row r="1556" spans="1:5">
      <c r="A1556" s="286" t="str">
        <f t="shared" si="27"/>
        <v>Cefepime</v>
      </c>
      <c r="B1556" s="26" t="s">
        <v>4962</v>
      </c>
      <c r="C1556" s="26" t="s">
        <v>4962</v>
      </c>
      <c r="D1556" s="279" t="s">
        <v>4963</v>
      </c>
      <c r="E1556" s="524" t="s">
        <v>4962</v>
      </c>
    </row>
    <row r="1557" spans="1:5">
      <c r="A1557" s="286" t="str">
        <f t="shared" si="27"/>
        <v>Ertapenem</v>
      </c>
      <c r="B1557" s="26" t="s">
        <v>4964</v>
      </c>
      <c r="C1557" s="26" t="s">
        <v>4965</v>
      </c>
      <c r="D1557" s="279" t="s">
        <v>4964</v>
      </c>
      <c r="E1557" s="524" t="s">
        <v>4964</v>
      </c>
    </row>
    <row r="1558" spans="1:5">
      <c r="A1558" s="286" t="str">
        <f t="shared" si="27"/>
        <v>Meropenem</v>
      </c>
      <c r="B1558" s="26" t="s">
        <v>4966</v>
      </c>
      <c r="C1558" s="26" t="s">
        <v>4967</v>
      </c>
      <c r="D1558" s="279" t="s">
        <v>4966</v>
      </c>
      <c r="E1558" s="524" t="s">
        <v>4966</v>
      </c>
    </row>
    <row r="1559" spans="1:5">
      <c r="A1559" s="286" t="str">
        <f t="shared" si="27"/>
        <v>Imipenem</v>
      </c>
      <c r="B1559" s="26" t="s">
        <v>4968</v>
      </c>
      <c r="C1559" s="26" t="s">
        <v>4969</v>
      </c>
      <c r="D1559" s="279" t="s">
        <v>4968</v>
      </c>
      <c r="E1559" s="524" t="s">
        <v>4968</v>
      </c>
    </row>
    <row r="1560" spans="1:5" ht="69">
      <c r="A1560" s="286" t="str">
        <f t="shared" si="27"/>
        <v>When S. pneumoniae is isolated from blood or cerebrospinal fluid, does the lab test the following antibiotics using an MIC method?</v>
      </c>
      <c r="B1560" s="26" t="s">
        <v>4970</v>
      </c>
      <c r="C1560" s="26" t="s">
        <v>4971</v>
      </c>
      <c r="D1560" s="164" t="s">
        <v>4972</v>
      </c>
      <c r="E1560" s="524" t="s">
        <v>4973</v>
      </c>
    </row>
    <row r="1561" spans="1:5">
      <c r="A1561" s="286" t="str">
        <f t="shared" si="27"/>
        <v>Penicillin</v>
      </c>
      <c r="B1561" s="26" t="s">
        <v>4945</v>
      </c>
      <c r="C1561" s="26" t="s">
        <v>4946</v>
      </c>
      <c r="D1561" s="279" t="s">
        <v>4947</v>
      </c>
      <c r="E1561" s="524" t="s">
        <v>4947</v>
      </c>
    </row>
    <row r="1562" spans="1:5">
      <c r="A1562" s="286" t="str">
        <f t="shared" si="27"/>
        <v>Ceftriaxone and/or Cefotaxime</v>
      </c>
      <c r="B1562" s="26" t="s">
        <v>4974</v>
      </c>
      <c r="C1562" s="26" t="s">
        <v>4975</v>
      </c>
      <c r="D1562" s="279" t="s">
        <v>4976</v>
      </c>
      <c r="E1562" s="524" t="s">
        <v>4977</v>
      </c>
    </row>
    <row r="1563" spans="1:5" ht="69">
      <c r="A1563" s="286" t="str">
        <f t="shared" si="27"/>
        <v xml:space="preserve">When S. pneumoniae is isolated from CSF, are penicillin, ceftriaxone, and/or cefotaxime reported using the meningitis breakpoints only? </v>
      </c>
      <c r="B1563" s="26" t="s">
        <v>4978</v>
      </c>
      <c r="C1563" s="26" t="s">
        <v>4979</v>
      </c>
      <c r="D1563" s="279" t="s">
        <v>4980</v>
      </c>
      <c r="E1563" s="524" t="s">
        <v>4981</v>
      </c>
    </row>
    <row r="1564" spans="1:5" ht="82.8">
      <c r="A1564" s="286" t="str">
        <f t="shared" si="27"/>
        <v xml:space="preserve">When S. pneumoniae is isolated from specimens other than CSF, are penicillin, ceftriaxone, and/or cefotaxime reported using both meningitis and non-meningitis breakpoints? </v>
      </c>
      <c r="B1564" s="26" t="s">
        <v>4982</v>
      </c>
      <c r="C1564" s="26" t="s">
        <v>4983</v>
      </c>
      <c r="D1564" s="279" t="s">
        <v>4984</v>
      </c>
      <c r="E1564" s="524" t="s">
        <v>4985</v>
      </c>
    </row>
    <row r="1565" spans="1:5" ht="69">
      <c r="A1565" s="286" t="str">
        <f t="shared" si="27"/>
        <v>Are S. pneumoniae that are resistant to Erythromycin and susceptible or intermediate to Clindamycin tested for inducible clindamycin resistance?</v>
      </c>
      <c r="B1565" s="26" t="s">
        <v>4986</v>
      </c>
      <c r="C1565" s="26" t="s">
        <v>4987</v>
      </c>
      <c r="D1565" s="279" t="s">
        <v>4988</v>
      </c>
      <c r="E1565" s="524" t="s">
        <v>4989</v>
      </c>
    </row>
    <row r="1566" spans="1:5" ht="27.6">
      <c r="A1566" s="286" t="str">
        <f t="shared" si="27"/>
        <v>INDUCIBLE CLINDAMYCIN RESISTANCE TESTING</v>
      </c>
      <c r="B1566" s="26" t="s">
        <v>772</v>
      </c>
      <c r="C1566" s="26" t="s">
        <v>773</v>
      </c>
      <c r="D1566" s="279" t="s">
        <v>4990</v>
      </c>
      <c r="E1566" s="524" t="s">
        <v>4991</v>
      </c>
    </row>
    <row r="1567" spans="1:5" ht="82.8">
      <c r="A1567" s="286" t="str">
        <f t="shared" si="27"/>
        <v xml:space="preserve">Does the lab perform the test for Inducible Clindamycin Resistance (ICR), also known as the “D-test” on Staphylococcus aureus and/or Streptococcus pneumoniae? </v>
      </c>
      <c r="B1567" s="26" t="s">
        <v>4992</v>
      </c>
      <c r="C1567" s="26" t="s">
        <v>4993</v>
      </c>
      <c r="D1567" s="279" t="s">
        <v>4994</v>
      </c>
      <c r="E1567" s="524" t="s">
        <v>4995</v>
      </c>
    </row>
    <row r="1568" spans="1:5" ht="69">
      <c r="A1568" s="286" t="str">
        <f t="shared" si="27"/>
        <v>Does the SOP for the ICR test specify that the erythromycin and clindamycin disks must be placed 15-26 mm apart for Staphylococcus species?</v>
      </c>
      <c r="B1568" s="26" t="s">
        <v>4996</v>
      </c>
      <c r="C1568" s="26" t="s">
        <v>4997</v>
      </c>
      <c r="D1568" s="279" t="s">
        <v>4998</v>
      </c>
      <c r="E1568" s="524" t="s">
        <v>4999</v>
      </c>
    </row>
    <row r="1569" spans="1:5" ht="69">
      <c r="A1569" s="286" t="str">
        <f t="shared" si="27"/>
        <v>Does the SOP for the ICR test specify that the erythromycin and clindamycin disks must be placed 12 mm apart for Streptococcus species?</v>
      </c>
      <c r="B1569" s="26" t="s">
        <v>5000</v>
      </c>
      <c r="C1569" s="26" t="s">
        <v>5001</v>
      </c>
      <c r="D1569" s="279" t="s">
        <v>5002</v>
      </c>
      <c r="E1569" s="524" t="s">
        <v>5003</v>
      </c>
    </row>
    <row r="1570" spans="1:5" ht="55.2">
      <c r="A1570" s="286" t="str">
        <f t="shared" si="27"/>
        <v>Do records indicate that quality control for ICR testing is done either on a weekly basis or each time the test is performed?</v>
      </c>
      <c r="B1570" s="26" t="s">
        <v>5004</v>
      </c>
      <c r="C1570" s="26" t="s">
        <v>5005</v>
      </c>
      <c r="D1570" s="279" t="s">
        <v>5006</v>
      </c>
      <c r="E1570" s="524" t="s">
        <v>5007</v>
      </c>
    </row>
    <row r="1571" spans="1:5" ht="82.8">
      <c r="A1571" s="286" t="str">
        <f t="shared" si="27"/>
        <v>Do records indicate that lab uses both positive and negative control organisms to QC the ICR test in use? (Commonly used ICR positive strain is S. aureus ATCC BAA-977)</v>
      </c>
      <c r="B1571" s="26" t="s">
        <v>5008</v>
      </c>
      <c r="C1571" s="26" t="s">
        <v>5009</v>
      </c>
      <c r="D1571" s="164" t="s">
        <v>5010</v>
      </c>
      <c r="E1571" s="524" t="s">
        <v>5011</v>
      </c>
    </row>
    <row r="1572" spans="1:5" ht="41.4">
      <c r="A1572" s="286" t="str">
        <f t="shared" si="27"/>
        <v xml:space="preserve">When the ICR test is positive, is the clindamycin result changed to resistant? </v>
      </c>
      <c r="B1572" s="26" t="s">
        <v>5012</v>
      </c>
      <c r="C1572" s="26" t="s">
        <v>5013</v>
      </c>
      <c r="D1572" s="279" t="s">
        <v>5014</v>
      </c>
      <c r="E1572" s="524" t="s">
        <v>5015</v>
      </c>
    </row>
    <row r="1573" spans="1:5" ht="27.6">
      <c r="A1573" s="286" t="str">
        <f t="shared" si="27"/>
        <v>EXPERT RULES FOR CEREBROSPINAL FLUID (CSF)</v>
      </c>
      <c r="B1573" s="26" t="s">
        <v>5016</v>
      </c>
      <c r="C1573" s="26" t="s">
        <v>5017</v>
      </c>
      <c r="D1573" s="279" t="s">
        <v>5018</v>
      </c>
      <c r="E1573" s="524" t="s">
        <v>5019</v>
      </c>
    </row>
    <row r="1574" spans="1:5" ht="55.2">
      <c r="A1574" s="286" t="str">
        <f t="shared" si="27"/>
        <v xml:space="preserve">Review a patient AST report for a positive CSF culture. Were any of the following drug classes tested or reported? </v>
      </c>
      <c r="B1574" s="26" t="s">
        <v>5020</v>
      </c>
      <c r="C1574" s="26" t="s">
        <v>5021</v>
      </c>
      <c r="D1574" s="164" t="s">
        <v>5022</v>
      </c>
      <c r="E1574" s="524" t="s">
        <v>5023</v>
      </c>
    </row>
    <row r="1575" spans="1:5" ht="69">
      <c r="A1575" s="286" t="str">
        <f t="shared" si="27"/>
        <v>(The following are not the drugs of choice and may not be effective for treating CSF infections, regardless of the AST result)</v>
      </c>
      <c r="B1575" s="26" t="s">
        <v>5024</v>
      </c>
      <c r="C1575" s="26" t="s">
        <v>5025</v>
      </c>
      <c r="D1575" s="279" t="s">
        <v>5026</v>
      </c>
      <c r="E1575" s="524" t="s">
        <v>5027</v>
      </c>
    </row>
    <row r="1576" spans="1:5" ht="41.4">
      <c r="A1576" s="286" t="str">
        <f t="shared" si="27"/>
        <v>1st generation cephalosporins (cefazolin, cephalothin, cephapirin, cephadrine)</v>
      </c>
      <c r="B1576" s="26" t="s">
        <v>4505</v>
      </c>
      <c r="C1576" s="26" t="s">
        <v>4506</v>
      </c>
      <c r="D1576" s="279" t="s">
        <v>4507</v>
      </c>
      <c r="E1576" s="524" t="s">
        <v>5028</v>
      </c>
    </row>
    <row r="1577" spans="1:5" ht="27.6">
      <c r="A1577" s="286" t="str">
        <f t="shared" si="27"/>
        <v>2nd generation cephalosporins (cefuroxime, cefonicid, cefamandole)</v>
      </c>
      <c r="B1577" s="26" t="s">
        <v>4509</v>
      </c>
      <c r="C1577" s="26" t="s">
        <v>4510</v>
      </c>
      <c r="D1577" s="279" t="s">
        <v>4511</v>
      </c>
      <c r="E1577" s="524" t="s">
        <v>5029</v>
      </c>
    </row>
    <row r="1578" spans="1:5">
      <c r="A1578" s="286" t="str">
        <f t="shared" si="27"/>
        <v>Cephamycins (cefoxitin, cefotetan)</v>
      </c>
      <c r="B1578" s="26" t="s">
        <v>4513</v>
      </c>
      <c r="C1578" s="26" t="s">
        <v>4514</v>
      </c>
      <c r="D1578" s="279" t="s">
        <v>4515</v>
      </c>
      <c r="E1578" s="524" t="s">
        <v>4515</v>
      </c>
    </row>
    <row r="1579" spans="1:5">
      <c r="A1579" s="286" t="str">
        <f t="shared" si="27"/>
        <v>Clindamycin</v>
      </c>
      <c r="B1579" s="26" t="s">
        <v>5030</v>
      </c>
      <c r="C1579" s="26" t="s">
        <v>5031</v>
      </c>
      <c r="D1579" s="279" t="s">
        <v>5032</v>
      </c>
      <c r="E1579" s="524" t="s">
        <v>5032</v>
      </c>
    </row>
    <row r="1580" spans="1:5" ht="27.6">
      <c r="A1580" s="286" t="str">
        <f t="shared" si="27"/>
        <v>Macrolides (Erythromycin, Azithromycin, Clarithromycin)</v>
      </c>
      <c r="B1580" s="26" t="s">
        <v>5033</v>
      </c>
      <c r="C1580" s="26" t="s">
        <v>5034</v>
      </c>
      <c r="D1580" s="279" t="s">
        <v>5035</v>
      </c>
      <c r="E1580" s="524" t="s">
        <v>5036</v>
      </c>
    </row>
    <row r="1581" spans="1:5" ht="27.6">
      <c r="A1581" s="286" t="str">
        <f t="shared" si="27"/>
        <v>Tetracyclines (Tetracycline, Minocycline, Doxycycline)</v>
      </c>
      <c r="B1581" s="26" t="s">
        <v>5037</v>
      </c>
      <c r="C1581" s="26" t="s">
        <v>5038</v>
      </c>
      <c r="D1581" s="279" t="s">
        <v>5039</v>
      </c>
      <c r="E1581" s="524" t="s">
        <v>5039</v>
      </c>
    </row>
    <row r="1582" spans="1:5" ht="27.6">
      <c r="A1582" s="286" t="str">
        <f t="shared" si="27"/>
        <v>Fluoroquinolones (Ciprofloxacin, Levofloxacin, Moxifloxacin)</v>
      </c>
      <c r="B1582" s="26" t="s">
        <v>5040</v>
      </c>
      <c r="C1582" s="26" t="s">
        <v>5041</v>
      </c>
      <c r="D1582" s="279" t="s">
        <v>5042</v>
      </c>
      <c r="E1582" s="524" t="s">
        <v>5043</v>
      </c>
    </row>
    <row r="1583" spans="1:5">
      <c r="A1583" s="286" t="str">
        <f t="shared" si="27"/>
        <v>Nitrofurantoin</v>
      </c>
      <c r="B1583" s="26" t="s">
        <v>5044</v>
      </c>
      <c r="C1583" s="26" t="s">
        <v>5045</v>
      </c>
      <c r="D1583" s="279" t="s">
        <v>5046</v>
      </c>
      <c r="E1583" s="524" t="s">
        <v>5046</v>
      </c>
    </row>
    <row r="1584" spans="1:5" ht="27.6">
      <c r="A1584" s="286" t="str">
        <f t="shared" si="27"/>
        <v>13- AST PANELS, POLICY &amp; ANALYSIS</v>
      </c>
      <c r="B1584" s="26" t="s">
        <v>5047</v>
      </c>
      <c r="C1584" s="26" t="s">
        <v>5048</v>
      </c>
      <c r="D1584" s="279" t="s">
        <v>782</v>
      </c>
      <c r="E1584" s="524" t="s">
        <v>5049</v>
      </c>
    </row>
    <row r="1585" spans="1:5" ht="55.2">
      <c r="A1585" s="286" t="str">
        <f t="shared" si="27"/>
        <v>Please note: all questions refer only to clinical patient isolates, NOT to research or environmental isolates</v>
      </c>
      <c r="B1585" s="26" t="s">
        <v>3888</v>
      </c>
      <c r="C1585" s="26" t="s">
        <v>3889</v>
      </c>
      <c r="D1585" s="279" t="s">
        <v>3890</v>
      </c>
      <c r="E1585" s="524" t="s">
        <v>5050</v>
      </c>
    </row>
    <row r="1586" spans="1:5">
      <c r="A1586" s="286" t="str">
        <f t="shared" si="27"/>
        <v>AST PANELS</v>
      </c>
      <c r="B1586" s="26" t="s">
        <v>784</v>
      </c>
      <c r="C1586" s="26" t="s">
        <v>785</v>
      </c>
      <c r="D1586" s="279" t="s">
        <v>786</v>
      </c>
      <c r="E1586" s="524" t="s">
        <v>787</v>
      </c>
    </row>
    <row r="1587" spans="1:5" ht="96.6">
      <c r="A1587" s="286" t="str">
        <f t="shared" si="27"/>
        <v>Is there an SOP that clearly defines the standard combination of antibiotics ("antibiotic panels") the lab will test against each of the following pathogens? (CLSI and EUCAST documents are not SOPs)</v>
      </c>
      <c r="B1587" s="26" t="s">
        <v>5051</v>
      </c>
      <c r="C1587" s="26" t="s">
        <v>5052</v>
      </c>
      <c r="D1587" s="279" t="s">
        <v>5053</v>
      </c>
      <c r="E1587" s="524" t="s">
        <v>5054</v>
      </c>
    </row>
    <row r="1588" spans="1:5">
      <c r="A1588" s="286" t="str">
        <f t="shared" si="27"/>
        <v>Staphylococcus aureus</v>
      </c>
      <c r="B1588" s="26" t="s">
        <v>5055</v>
      </c>
      <c r="C1588" s="26" t="s">
        <v>5055</v>
      </c>
      <c r="D1588" s="279" t="s">
        <v>5055</v>
      </c>
      <c r="E1588" s="524" t="s">
        <v>5055</v>
      </c>
    </row>
    <row r="1589" spans="1:5">
      <c r="A1589" s="286" t="str">
        <f t="shared" si="27"/>
        <v>Enterococcus spp</v>
      </c>
      <c r="B1589" s="26" t="s">
        <v>5056</v>
      </c>
      <c r="C1589" s="26" t="s">
        <v>5056</v>
      </c>
      <c r="D1589" s="279" t="s">
        <v>5057</v>
      </c>
      <c r="E1589" s="524" t="s">
        <v>5056</v>
      </c>
    </row>
    <row r="1590" spans="1:5">
      <c r="A1590" s="286" t="str">
        <f t="shared" si="27"/>
        <v>Streptococcus pneumoniae</v>
      </c>
      <c r="B1590" s="26" t="s">
        <v>5058</v>
      </c>
      <c r="C1590" s="26" t="s">
        <v>5058</v>
      </c>
      <c r="D1590" s="279" t="s">
        <v>5058</v>
      </c>
      <c r="E1590" s="524" t="s">
        <v>5058</v>
      </c>
    </row>
    <row r="1591" spans="1:5">
      <c r="A1591" s="286" t="str">
        <f t="shared" si="27"/>
        <v>Enterobacteriaceae</v>
      </c>
      <c r="B1591" s="26" t="s">
        <v>5059</v>
      </c>
      <c r="C1591" s="26" t="s">
        <v>5059</v>
      </c>
      <c r="D1591" s="279" t="s">
        <v>5059</v>
      </c>
      <c r="E1591" s="524" t="s">
        <v>5059</v>
      </c>
    </row>
    <row r="1592" spans="1:5">
      <c r="A1592" s="286" t="str">
        <f t="shared" si="27"/>
        <v>Salmonella spp</v>
      </c>
      <c r="B1592" s="26" t="s">
        <v>5060</v>
      </c>
      <c r="C1592" s="26" t="s">
        <v>5060</v>
      </c>
      <c r="D1592" s="279" t="s">
        <v>3882</v>
      </c>
      <c r="E1592" s="524" t="s">
        <v>5060</v>
      </c>
    </row>
    <row r="1593" spans="1:5">
      <c r="A1593" s="286" t="str">
        <f t="shared" si="27"/>
        <v>Acinetobacter spp</v>
      </c>
      <c r="B1593" s="26" t="s">
        <v>5061</v>
      </c>
      <c r="C1593" s="26" t="s">
        <v>5061</v>
      </c>
      <c r="D1593" s="279" t="s">
        <v>5062</v>
      </c>
      <c r="E1593" s="524" t="s">
        <v>5061</v>
      </c>
    </row>
    <row r="1594" spans="1:5">
      <c r="A1594" s="286" t="str">
        <f t="shared" si="27"/>
        <v>Pseudomonas aeruginosa</v>
      </c>
      <c r="B1594" s="26" t="s">
        <v>5063</v>
      </c>
      <c r="C1594" s="26" t="s">
        <v>5063</v>
      </c>
      <c r="D1594" s="279" t="s">
        <v>5063</v>
      </c>
      <c r="E1594" s="524" t="s">
        <v>5063</v>
      </c>
    </row>
    <row r="1595" spans="1:5" ht="55.2">
      <c r="A1595" s="286" t="str">
        <f t="shared" si="27"/>
        <v>Review several patient AST reports for E. coli. Is the same combination of antibiotics tested each time?</v>
      </c>
      <c r="B1595" s="26" t="s">
        <v>5064</v>
      </c>
      <c r="C1595" s="26" t="s">
        <v>5065</v>
      </c>
      <c r="D1595" s="164" t="s">
        <v>5066</v>
      </c>
      <c r="E1595" s="524" t="s">
        <v>5067</v>
      </c>
    </row>
    <row r="1596" spans="1:5" ht="110.4">
      <c r="A1596" s="286" t="str">
        <f t="shared" si="27"/>
        <v>Does the SOP clearly define how to modify the standard antibiotic panels described above based upon the body site of infection? ONLY select NA if the laboratory does not perform testing on the body site listed.</v>
      </c>
      <c r="B1596" s="26" t="s">
        <v>5068</v>
      </c>
      <c r="C1596" s="26" t="s">
        <v>5069</v>
      </c>
      <c r="D1596" s="279" t="s">
        <v>5070</v>
      </c>
      <c r="E1596" s="524" t="s">
        <v>5071</v>
      </c>
    </row>
    <row r="1597" spans="1:5">
      <c r="A1597" s="286" t="str">
        <f t="shared" si="27"/>
        <v>Urine</v>
      </c>
      <c r="B1597" s="26" t="s">
        <v>5072</v>
      </c>
      <c r="C1597" s="26" t="s">
        <v>5072</v>
      </c>
      <c r="D1597" s="279" t="s">
        <v>5073</v>
      </c>
      <c r="E1597" s="524" t="s">
        <v>5074</v>
      </c>
    </row>
    <row r="1598" spans="1:5">
      <c r="A1598" s="286" t="str">
        <f t="shared" si="27"/>
        <v>CSF</v>
      </c>
      <c r="B1598" s="26" t="s">
        <v>5075</v>
      </c>
      <c r="C1598" s="26" t="s">
        <v>5076</v>
      </c>
      <c r="D1598" s="279" t="s">
        <v>5076</v>
      </c>
      <c r="E1598" s="524" t="s">
        <v>5076</v>
      </c>
    </row>
    <row r="1599" spans="1:5">
      <c r="A1599" s="286" t="str">
        <f t="shared" si="27"/>
        <v>Blood</v>
      </c>
      <c r="B1599" s="26" t="s">
        <v>5077</v>
      </c>
      <c r="C1599" s="26" t="s">
        <v>5078</v>
      </c>
      <c r="D1599" s="279" t="s">
        <v>5079</v>
      </c>
      <c r="E1599" s="524" t="s">
        <v>5080</v>
      </c>
    </row>
    <row r="1600" spans="1:5" ht="27.6">
      <c r="A1600" s="286" t="str">
        <f t="shared" si="27"/>
        <v>CUMULATIVE ANTIBIOGRAMS</v>
      </c>
      <c r="B1600" s="26" t="s">
        <v>788</v>
      </c>
      <c r="C1600" s="26" t="s">
        <v>789</v>
      </c>
      <c r="D1600" s="279" t="s">
        <v>790</v>
      </c>
      <c r="E1600" s="524" t="s">
        <v>5081</v>
      </c>
    </row>
    <row r="1601" spans="1:5" ht="41.4">
      <c r="A1601" s="286" t="str">
        <f t="shared" si="27"/>
        <v>Does the lab produce a cumulative antibiogram at least annually?</v>
      </c>
      <c r="B1601" s="26" t="s">
        <v>5082</v>
      </c>
      <c r="C1601" s="26" t="s">
        <v>5083</v>
      </c>
      <c r="D1601" s="279" t="s">
        <v>5084</v>
      </c>
      <c r="E1601" s="524" t="s">
        <v>5085</v>
      </c>
    </row>
    <row r="1602" spans="1:5" ht="27.6">
      <c r="A1602" s="286" t="str">
        <f t="shared" si="27"/>
        <v>If No, answer the following questions "NA"</v>
      </c>
      <c r="B1602" s="26" t="s">
        <v>5086</v>
      </c>
      <c r="C1602" s="26" t="s">
        <v>5087</v>
      </c>
      <c r="D1602" s="279" t="s">
        <v>5088</v>
      </c>
      <c r="E1602" s="524" t="s">
        <v>5089</v>
      </c>
    </row>
    <row r="1603" spans="1:5" ht="41.4">
      <c r="A1603" s="286" t="str">
        <f t="shared" si="27"/>
        <v>Does the lab have a software program to produce the antibiogram?</v>
      </c>
      <c r="B1603" s="26" t="s">
        <v>5090</v>
      </c>
      <c r="C1603" s="26" t="s">
        <v>5091</v>
      </c>
      <c r="D1603" s="279" t="s">
        <v>5092</v>
      </c>
      <c r="E1603" s="524" t="s">
        <v>5093</v>
      </c>
    </row>
    <row r="1604" spans="1:5" ht="55.2">
      <c r="A1604" s="286" t="str">
        <f t="shared" ref="A1604:A1667" si="28">IF(langue=1,B1604,IF(langue=2,C1604,IF(langue=3,D1604,IF(langue=4,E1604,F1604))))</f>
        <v>Review the most recent cumulative antibiogram. Does it adhere to the following CLSI M39 recommendations?</v>
      </c>
      <c r="B1604" s="26" t="s">
        <v>5094</v>
      </c>
      <c r="C1604" s="26" t="s">
        <v>5095</v>
      </c>
      <c r="D1604" s="279" t="s">
        <v>5096</v>
      </c>
      <c r="E1604" s="524" t="s">
        <v>5097</v>
      </c>
    </row>
    <row r="1605" spans="1:5" ht="41.4">
      <c r="A1605" s="286" t="str">
        <f t="shared" si="28"/>
        <v>Clearly displays the inclusive date range (e.g. Jan 1, YYYY – Dec 31, YYYY)</v>
      </c>
      <c r="B1605" s="26" t="s">
        <v>5098</v>
      </c>
      <c r="C1605" s="26" t="s">
        <v>5099</v>
      </c>
      <c r="D1605" s="279" t="s">
        <v>5100</v>
      </c>
      <c r="E1605" s="524" t="s">
        <v>5101</v>
      </c>
    </row>
    <row r="1606" spans="1:5" ht="27.6">
      <c r="A1606" s="286" t="str">
        <f t="shared" si="28"/>
        <v xml:space="preserve">Clearly displays the name of the hospital/facility </v>
      </c>
      <c r="B1606" s="26" t="s">
        <v>5102</v>
      </c>
      <c r="C1606" s="26" t="s">
        <v>5103</v>
      </c>
      <c r="D1606" s="279" t="s">
        <v>5104</v>
      </c>
      <c r="E1606" s="524" t="s">
        <v>5105</v>
      </c>
    </row>
    <row r="1607" spans="1:5" ht="27.6">
      <c r="A1607" s="286" t="str">
        <f t="shared" si="28"/>
        <v>Data is presented as %S (not %R)</v>
      </c>
      <c r="B1607" s="26" t="s">
        <v>5106</v>
      </c>
      <c r="C1607" s="26" t="s">
        <v>5107</v>
      </c>
      <c r="D1607" s="279" t="s">
        <v>5108</v>
      </c>
      <c r="E1607" s="524" t="s">
        <v>5109</v>
      </c>
    </row>
    <row r="1608" spans="1:5" ht="27.6">
      <c r="A1608" s="286" t="str">
        <f t="shared" si="28"/>
        <v>For each organism, the total N tested is displayed</v>
      </c>
      <c r="B1608" s="26" t="s">
        <v>5110</v>
      </c>
      <c r="C1608" s="26" t="s">
        <v>5111</v>
      </c>
      <c r="D1608" s="164" t="s">
        <v>5112</v>
      </c>
      <c r="E1608" s="524" t="s">
        <v>5113</v>
      </c>
    </row>
    <row r="1609" spans="1:5" ht="41.4">
      <c r="A1609" s="286" t="str">
        <f t="shared" si="28"/>
        <v>Only presents data for organisms/antibiotics where the total N = 30 or more isolates</v>
      </c>
      <c r="B1609" s="26" t="s">
        <v>5114</v>
      </c>
      <c r="C1609" s="26" t="s">
        <v>5115</v>
      </c>
      <c r="D1609" s="164" t="s">
        <v>5116</v>
      </c>
      <c r="E1609" s="524" t="s">
        <v>5117</v>
      </c>
    </row>
    <row r="1610" spans="1:5" ht="69">
      <c r="A1610" s="286" t="str">
        <f t="shared" si="28"/>
        <v>Are isolates from environmental cultures and screening cultures (e.g., MRSA screen, VRE screen) excluded from the analysis?</v>
      </c>
      <c r="B1610" s="26" t="s">
        <v>5118</v>
      </c>
      <c r="C1610" s="26" t="s">
        <v>5119</v>
      </c>
      <c r="D1610" s="164" t="s">
        <v>5120</v>
      </c>
      <c r="E1610" s="524" t="s">
        <v>5121</v>
      </c>
    </row>
    <row r="1611" spans="1:5" ht="96.6">
      <c r="A1611" s="286" t="str">
        <f t="shared" si="28"/>
        <v>Is the lab able to de-duplicate the data, so that only the first isolate of a given species per patient, per analysis period is included, irrespective of the body site of recovery?</v>
      </c>
      <c r="B1611" s="26" t="s">
        <v>5122</v>
      </c>
      <c r="C1611" s="26" t="s">
        <v>5123</v>
      </c>
      <c r="D1611" s="279" t="s">
        <v>5124</v>
      </c>
      <c r="E1611" s="524" t="s">
        <v>5125</v>
      </c>
    </row>
    <row r="1612" spans="1:5" ht="41.4">
      <c r="A1612" s="286" t="str">
        <f t="shared" si="28"/>
        <v>Is the lab able to separate inpatient data from outpatient data?</v>
      </c>
      <c r="B1612" s="26" t="s">
        <v>5126</v>
      </c>
      <c r="C1612" s="26" t="s">
        <v>5127</v>
      </c>
      <c r="D1612" s="279" t="s">
        <v>5128</v>
      </c>
      <c r="E1612" s="524" t="s">
        <v>5129</v>
      </c>
    </row>
    <row r="1613" spans="1:5" ht="55.2">
      <c r="A1613" s="286" t="str">
        <f t="shared" si="28"/>
        <v>If the lab serves multiple hospitals/facilities, are they able to separate the data by Facility?</v>
      </c>
      <c r="B1613" s="26" t="s">
        <v>5130</v>
      </c>
      <c r="C1613" s="26" t="s">
        <v>5131</v>
      </c>
      <c r="D1613" s="279" t="s">
        <v>5132</v>
      </c>
      <c r="E1613" s="524" t="s">
        <v>5133</v>
      </c>
    </row>
    <row r="1614" spans="1:5" ht="55.2">
      <c r="A1614" s="286" t="str">
        <f t="shared" si="28"/>
        <v>Is the cumulative antibiogram reviewed annually by either an Antibiotic Stewardship or a Pharmacy &amp; Therapeutics Committee?</v>
      </c>
      <c r="B1614" s="26" t="s">
        <v>5134</v>
      </c>
      <c r="C1614" s="26" t="s">
        <v>5135</v>
      </c>
      <c r="D1614" s="279" t="s">
        <v>5136</v>
      </c>
      <c r="E1614" s="524" t="s">
        <v>5137</v>
      </c>
    </row>
    <row r="1615" spans="1:5" ht="27.6">
      <c r="A1615" s="286" t="str">
        <f t="shared" si="28"/>
        <v>Is the cumulative antibiogram distributed to all physicians?</v>
      </c>
      <c r="B1615" s="26" t="s">
        <v>5138</v>
      </c>
      <c r="C1615" s="26" t="s">
        <v>5139</v>
      </c>
      <c r="D1615" s="279" t="s">
        <v>5140</v>
      </c>
      <c r="E1615" s="524" t="s">
        <v>5141</v>
      </c>
    </row>
    <row r="1616" spans="1:5">
      <c r="A1616" s="286" t="str">
        <f t="shared" si="28"/>
        <v>AST POLICY</v>
      </c>
      <c r="B1616" s="26" t="s">
        <v>5142</v>
      </c>
      <c r="C1616" s="26" t="s">
        <v>5143</v>
      </c>
      <c r="D1616" s="279" t="s">
        <v>5144</v>
      </c>
      <c r="E1616" s="524" t="s">
        <v>5145</v>
      </c>
    </row>
    <row r="1617" spans="1:5" ht="69">
      <c r="A1617" s="286" t="str">
        <f t="shared" si="28"/>
        <v>Does lab policy primarily determine which isolates receive AST, or is AST performed only when it is specifically requested by the doctor?</v>
      </c>
      <c r="B1617" s="26" t="s">
        <v>5146</v>
      </c>
      <c r="C1617" s="26" t="s">
        <v>5147</v>
      </c>
      <c r="D1617" s="279" t="s">
        <v>5148</v>
      </c>
      <c r="E1617" s="524" t="s">
        <v>5149</v>
      </c>
    </row>
    <row r="1618" spans="1:5" ht="69">
      <c r="A1618" s="286" t="str">
        <f t="shared" si="28"/>
        <v>1: Lab policy primarily determines - 2: Only when requested by clinician - 3: Equal mix of both</v>
      </c>
      <c r="B1618" s="26" t="s">
        <v>5150</v>
      </c>
      <c r="C1618" s="26" t="s">
        <v>5151</v>
      </c>
      <c r="D1618" s="279" t="s">
        <v>5152</v>
      </c>
      <c r="E1618" s="524" t="s">
        <v>5153</v>
      </c>
    </row>
    <row r="1619" spans="1:5" ht="96.6">
      <c r="A1619" s="286" t="str">
        <f t="shared" si="28"/>
        <v>Does lab policy primarily determine which antibiotics to test and report, or does the lab only test and report the antibiotics specifically requested by the physician?</v>
      </c>
      <c r="B1619" s="26" t="s">
        <v>5154</v>
      </c>
      <c r="C1619" s="26" t="s">
        <v>5155</v>
      </c>
      <c r="D1619" s="279" t="s">
        <v>5156</v>
      </c>
      <c r="E1619" s="524" t="s">
        <v>5157</v>
      </c>
    </row>
    <row r="1620" spans="1:5" ht="69">
      <c r="A1620" s="286" t="str">
        <f t="shared" si="28"/>
        <v>1: Lab policy primarily determines - 2: Only the antibiotics requested by physician - 3: Equal mix of both</v>
      </c>
      <c r="B1620" s="26" t="s">
        <v>5158</v>
      </c>
      <c r="C1620" s="26" t="s">
        <v>5159</v>
      </c>
      <c r="D1620" s="279" t="s">
        <v>5160</v>
      </c>
      <c r="E1620" s="524" t="s">
        <v>5161</v>
      </c>
    </row>
    <row r="1621" spans="1:5" ht="138">
      <c r="A1621" s="286" t="str">
        <f t="shared" si="28"/>
        <v>"Cascade reporting” is a strategy of selective reporting of AST results in which secondary agents (e.g., broader spectrum, more costly) may be suppressed or excluded from the patient report if an organism is susceptible to primary agents within the same drug class.</v>
      </c>
      <c r="B1621" s="26" t="s">
        <v>5162</v>
      </c>
      <c r="C1621" s="26" t="s">
        <v>5163</v>
      </c>
      <c r="D1621" s="164" t="s">
        <v>5164</v>
      </c>
      <c r="E1621" s="524" t="s">
        <v>5165</v>
      </c>
    </row>
    <row r="1622" spans="1:5" ht="27.6">
      <c r="A1622" s="286" t="str">
        <f t="shared" si="28"/>
        <v xml:space="preserve"> Does the lab practice “cascade reporting”?</v>
      </c>
      <c r="B1622" s="26" t="s">
        <v>5166</v>
      </c>
      <c r="C1622" s="26" t="s">
        <v>5167</v>
      </c>
      <c r="D1622" s="279" t="s">
        <v>5168</v>
      </c>
      <c r="E1622" s="524" t="s">
        <v>5169</v>
      </c>
    </row>
    <row r="1623" spans="1:5" ht="27.6">
      <c r="A1623" s="286" t="str">
        <f t="shared" si="28"/>
        <v>If no, answer NA to next question</v>
      </c>
      <c r="B1623" s="26" t="s">
        <v>4851</v>
      </c>
      <c r="C1623" s="26" t="s">
        <v>4852</v>
      </c>
      <c r="D1623" s="279" t="s">
        <v>4853</v>
      </c>
      <c r="E1623" s="524" t="s">
        <v>4854</v>
      </c>
    </row>
    <row r="1624" spans="1:5" ht="110.4">
      <c r="A1624" s="286" t="str">
        <f t="shared" si="28"/>
        <v>With cascade reporting, there is a risk that the AST results excluded from the patient report may also be excluded from the main data repository or LIS. This can lead to highly biased AMR surveillance and cumulative antibiogram statistics.</v>
      </c>
      <c r="B1624" s="26" t="s">
        <v>5170</v>
      </c>
      <c r="C1624" s="26" t="s">
        <v>5171</v>
      </c>
      <c r="D1624" s="279" t="s">
        <v>5172</v>
      </c>
      <c r="E1624" s="524" t="s">
        <v>5173</v>
      </c>
    </row>
    <row r="1625" spans="1:5" ht="82.8">
      <c r="A1625" s="286" t="str">
        <f t="shared" si="28"/>
        <v>If the lab practices cascade reporting, is it done in a way which ensures that the AST results excluded from the patient report are NOT excluded from the LIS or other main data repository?</v>
      </c>
      <c r="B1625" s="26" t="s">
        <v>5174</v>
      </c>
      <c r="C1625" s="26" t="s">
        <v>5175</v>
      </c>
      <c r="D1625" s="279" t="s">
        <v>5176</v>
      </c>
      <c r="E1625" s="524" t="s">
        <v>5177</v>
      </c>
    </row>
    <row r="1626" spans="1:5" ht="27.6">
      <c r="A1626" s="286" t="str">
        <f t="shared" si="28"/>
        <v>Does the hospital have an Antibiotic Stewardship Committee?</v>
      </c>
      <c r="B1626" s="26" t="s">
        <v>5178</v>
      </c>
      <c r="C1626" s="26" t="s">
        <v>5179</v>
      </c>
      <c r="D1626" s="279" t="s">
        <v>5180</v>
      </c>
      <c r="E1626" s="524" t="s">
        <v>5181</v>
      </c>
    </row>
    <row r="1627" spans="1:5" ht="41.4">
      <c r="A1627" s="286" t="str">
        <f t="shared" si="28"/>
        <v>If the hospital has an Antibiotic Stewardship Committee, is a microbiologist a member?</v>
      </c>
      <c r="B1627" s="26" t="s">
        <v>5182</v>
      </c>
      <c r="C1627" s="26" t="s">
        <v>5183</v>
      </c>
      <c r="D1627" s="164" t="s">
        <v>5184</v>
      </c>
      <c r="E1627" s="524" t="s">
        <v>5185</v>
      </c>
    </row>
    <row r="1628" spans="1:5" ht="41.4">
      <c r="A1628" s="286" t="str">
        <f t="shared" si="28"/>
        <v>Does the hospital have a Pharmacy and Therapeutics Committee?</v>
      </c>
      <c r="B1628" s="26" t="s">
        <v>5186</v>
      </c>
      <c r="C1628" s="26" t="s">
        <v>5187</v>
      </c>
      <c r="D1628" s="164" t="s">
        <v>5188</v>
      </c>
      <c r="E1628" s="524" t="s">
        <v>5189</v>
      </c>
    </row>
    <row r="1629" spans="1:5" ht="41.4">
      <c r="A1629" s="286" t="str">
        <f t="shared" si="28"/>
        <v>If the hospital has a Pharmacy and Therapeutics Committee, is a microbiologist a member?</v>
      </c>
      <c r="B1629" s="26" t="s">
        <v>5190</v>
      </c>
      <c r="C1629" s="26" t="s">
        <v>5191</v>
      </c>
      <c r="D1629" s="164" t="s">
        <v>5192</v>
      </c>
      <c r="E1629" s="524" t="s">
        <v>5193</v>
      </c>
    </row>
    <row r="1630" spans="1:5" ht="124.2">
      <c r="A1630" s="286" t="str">
        <f t="shared" si="28"/>
        <v>Does the hospital's Antibiotic Stewardship or Pharmacy and Therapeutic Committee meet at least annually to review national or international AST panel recommendations and modify them based on the hospital's formulary and cumulative antibiogram?</v>
      </c>
      <c r="B1630" s="26" t="s">
        <v>5194</v>
      </c>
      <c r="C1630" s="26" t="s">
        <v>5195</v>
      </c>
      <c r="D1630" s="164" t="s">
        <v>5196</v>
      </c>
      <c r="E1630" s="524" t="s">
        <v>5197</v>
      </c>
    </row>
    <row r="1631" spans="1:5">
      <c r="A1631" s="286" t="str">
        <f t="shared" si="28"/>
        <v>SAFETY</v>
      </c>
      <c r="B1631" s="26" t="s">
        <v>796</v>
      </c>
      <c r="C1631" s="26" t="s">
        <v>382</v>
      </c>
      <c r="D1631" s="279" t="s">
        <v>383</v>
      </c>
      <c r="E1631" s="524" t="s">
        <v>384</v>
      </c>
    </row>
    <row r="1632" spans="1:5" ht="69">
      <c r="A1632" s="286" t="str">
        <f t="shared" si="28"/>
        <v xml:space="preserve">To be completed if there is no record of another safety audit in the past 12 months. This is not intended to be a comprehensive safety audit. </v>
      </c>
      <c r="B1632" s="26" t="s">
        <v>5198</v>
      </c>
      <c r="C1632" s="26" t="s">
        <v>5199</v>
      </c>
      <c r="D1632" s="279" t="s">
        <v>5200</v>
      </c>
      <c r="E1632" s="524" t="s">
        <v>5201</v>
      </c>
    </row>
    <row r="1633" spans="1:5">
      <c r="A1633" s="286" t="str">
        <f t="shared" si="28"/>
        <v>BIOSAFETY EQUIPMENT</v>
      </c>
      <c r="B1633" s="26" t="s">
        <v>797</v>
      </c>
      <c r="C1633" s="26" t="s">
        <v>5202</v>
      </c>
      <c r="D1633" s="279" t="s">
        <v>799</v>
      </c>
      <c r="E1633" s="524" t="s">
        <v>800</v>
      </c>
    </row>
    <row r="1634" spans="1:5" ht="27.6">
      <c r="A1634" s="286" t="str">
        <f t="shared" si="28"/>
        <v>Is standard safety equipment available and in use in the laboratory?</v>
      </c>
      <c r="B1634" s="26" t="s">
        <v>5203</v>
      </c>
      <c r="C1634" s="26" t="s">
        <v>5204</v>
      </c>
      <c r="D1634" s="279" t="s">
        <v>5205</v>
      </c>
      <c r="E1634" s="524" t="s">
        <v>5206</v>
      </c>
    </row>
    <row r="1635" spans="1:5" ht="27.6">
      <c r="A1635" s="286" t="str">
        <f t="shared" si="28"/>
        <v>Biosafety cabinets (Class IIA)</v>
      </c>
      <c r="B1635" s="26" t="s">
        <v>5207</v>
      </c>
      <c r="C1635" s="26" t="s">
        <v>5208</v>
      </c>
      <c r="D1635" s="279" t="s">
        <v>5209</v>
      </c>
      <c r="E1635" s="524" t="s">
        <v>5210</v>
      </c>
    </row>
    <row r="1636" spans="1:5" ht="27.6">
      <c r="A1636" s="286" t="str">
        <f t="shared" si="28"/>
        <v>Covers on each centrifuge bucket</v>
      </c>
      <c r="B1636" s="26" t="s">
        <v>5211</v>
      </c>
      <c r="C1636" s="26" t="s">
        <v>5212</v>
      </c>
      <c r="D1636" s="279" t="s">
        <v>5213</v>
      </c>
      <c r="E1636" s="524" t="s">
        <v>5214</v>
      </c>
    </row>
    <row r="1637" spans="1:5">
      <c r="A1637" s="286" t="str">
        <f t="shared" si="28"/>
        <v>Cover over centrifuge rotor</v>
      </c>
      <c r="B1637" s="26" t="s">
        <v>5215</v>
      </c>
      <c r="C1637" s="26" t="s">
        <v>5216</v>
      </c>
      <c r="D1637" s="279" t="s">
        <v>5217</v>
      </c>
      <c r="E1637" s="524" t="s">
        <v>5218</v>
      </c>
    </row>
    <row r="1638" spans="1:5">
      <c r="A1638" s="286" t="str">
        <f t="shared" si="28"/>
        <v>Hand-washing station</v>
      </c>
      <c r="B1638" s="26" t="s">
        <v>5219</v>
      </c>
      <c r="C1638" s="26" t="s">
        <v>5220</v>
      </c>
      <c r="D1638" s="279" t="s">
        <v>5221</v>
      </c>
      <c r="E1638" s="524" t="s">
        <v>5222</v>
      </c>
    </row>
    <row r="1639" spans="1:5">
      <c r="A1639" s="286" t="str">
        <f t="shared" si="28"/>
        <v>Eyewash station/bottle</v>
      </c>
      <c r="B1639" s="26" t="s">
        <v>5223</v>
      </c>
      <c r="C1639" s="26" t="s">
        <v>5224</v>
      </c>
      <c r="D1639" s="279" t="s">
        <v>5225</v>
      </c>
      <c r="E1639" s="524" t="s">
        <v>5226</v>
      </c>
    </row>
    <row r="1640" spans="1:5">
      <c r="A1640" s="286" t="str">
        <f t="shared" si="28"/>
        <v>Sharps containers</v>
      </c>
      <c r="B1640" s="26" t="s">
        <v>5227</v>
      </c>
      <c r="C1640" s="26" t="s">
        <v>5228</v>
      </c>
      <c r="D1640" s="279" t="s">
        <v>5229</v>
      </c>
      <c r="E1640" s="524" t="s">
        <v>5230</v>
      </c>
    </row>
    <row r="1641" spans="1:5" ht="41.4">
      <c r="A1641" s="286" t="str">
        <f t="shared" si="28"/>
        <v>Flame cabinet (for securely storing flammable liquids, e.g. ethanol)</v>
      </c>
      <c r="B1641" s="26" t="s">
        <v>5231</v>
      </c>
      <c r="C1641" s="26" t="s">
        <v>5232</v>
      </c>
      <c r="D1641" s="279" t="s">
        <v>5233</v>
      </c>
      <c r="E1641" s="524" t="s">
        <v>5234</v>
      </c>
    </row>
    <row r="1642" spans="1:5">
      <c r="A1642" s="286" t="str">
        <f t="shared" si="28"/>
        <v>Spill kit</v>
      </c>
      <c r="B1642" s="26" t="s">
        <v>5235</v>
      </c>
      <c r="C1642" s="26" t="s">
        <v>5236</v>
      </c>
      <c r="D1642" s="279" t="s">
        <v>5237</v>
      </c>
      <c r="E1642" s="524" t="s">
        <v>5238</v>
      </c>
    </row>
    <row r="1643" spans="1:5">
      <c r="A1643" s="286" t="str">
        <f t="shared" si="28"/>
        <v>First aid kit</v>
      </c>
      <c r="B1643" s="26" t="s">
        <v>5239</v>
      </c>
      <c r="C1643" s="26" t="s">
        <v>5240</v>
      </c>
      <c r="D1643" s="279" t="s">
        <v>5241</v>
      </c>
      <c r="E1643" s="524" t="s">
        <v>5242</v>
      </c>
    </row>
    <row r="1644" spans="1:5" ht="248.4">
      <c r="A1644" s="286" t="str">
        <f t="shared" si="28"/>
        <v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v>
      </c>
      <c r="B1644" s="26" t="s">
        <v>5243</v>
      </c>
      <c r="C1644" s="26" t="s">
        <v>5244</v>
      </c>
      <c r="D1644" s="164" t="s">
        <v>5245</v>
      </c>
      <c r="E1644" s="524" t="s">
        <v>5246</v>
      </c>
    </row>
    <row r="1645" spans="1:5" ht="179.4">
      <c r="A1645" s="286" t="str">
        <f t="shared" si="28"/>
        <v>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v>
      </c>
      <c r="B1645" s="26" t="s">
        <v>5247</v>
      </c>
      <c r="C1645" s="26" t="s">
        <v>5248</v>
      </c>
      <c r="D1645" s="279" t="s">
        <v>5249</v>
      </c>
      <c r="E1645" s="524" t="s">
        <v>5250</v>
      </c>
    </row>
    <row r="1646" spans="1:5" ht="41.4">
      <c r="A1646" s="286" t="str">
        <f t="shared" si="28"/>
        <v xml:space="preserve">Have all biosafety cabinets been recertified within a year of today’s date? </v>
      </c>
      <c r="B1646" s="26" t="s">
        <v>5251</v>
      </c>
      <c r="C1646" s="26" t="s">
        <v>5252</v>
      </c>
      <c r="D1646" s="164" t="s">
        <v>5253</v>
      </c>
      <c r="E1646" s="524" t="s">
        <v>5254</v>
      </c>
    </row>
    <row r="1647" spans="1:5" ht="124.2">
      <c r="A1647" s="286" t="str">
        <f t="shared" si="28"/>
        <v>Standard: A biosafety cabinet should be used for to prevent aerosol exposure to contagious specimens or organisms. For proper functioning and full protection, biosafety cabinets require periodic maintenance and should be serviced accordingly.</v>
      </c>
      <c r="B1647" s="26" t="s">
        <v>5255</v>
      </c>
      <c r="C1647" s="26" t="s">
        <v>5256</v>
      </c>
      <c r="D1647" s="279" t="s">
        <v>5257</v>
      </c>
      <c r="E1647" s="524" t="s">
        <v>5258</v>
      </c>
    </row>
    <row r="1648" spans="1:5" ht="27.6">
      <c r="A1648" s="286" t="str">
        <f t="shared" si="28"/>
        <v>PERSONAL PROTECTIVE EQUIPMENT</v>
      </c>
      <c r="B1648" s="26" t="s">
        <v>805</v>
      </c>
      <c r="C1648" s="26" t="s">
        <v>806</v>
      </c>
      <c r="D1648" s="279" t="s">
        <v>807</v>
      </c>
      <c r="E1648" s="524" t="s">
        <v>808</v>
      </c>
    </row>
    <row r="1649" spans="1:5" ht="41.4">
      <c r="A1649" s="286" t="str">
        <f t="shared" si="28"/>
        <v>Is all necessary personal protective equipment (PPE) available for BSL2?</v>
      </c>
      <c r="B1649" s="26" t="s">
        <v>5259</v>
      </c>
      <c r="C1649" s="26" t="s">
        <v>5260</v>
      </c>
      <c r="D1649" s="279" t="s">
        <v>5261</v>
      </c>
      <c r="E1649" s="524" t="s">
        <v>5262</v>
      </c>
    </row>
    <row r="1650" spans="1:5">
      <c r="A1650" s="286" t="str">
        <f t="shared" si="28"/>
        <v>Gowns</v>
      </c>
      <c r="B1650" s="26" t="s">
        <v>5263</v>
      </c>
      <c r="C1650" s="26" t="s">
        <v>5264</v>
      </c>
      <c r="D1650" s="279" t="s">
        <v>5265</v>
      </c>
      <c r="E1650" s="524" t="s">
        <v>5266</v>
      </c>
    </row>
    <row r="1651" spans="1:5">
      <c r="A1651" s="286" t="str">
        <f t="shared" si="28"/>
        <v>Gloves</v>
      </c>
      <c r="B1651" s="26" t="s">
        <v>5267</v>
      </c>
      <c r="C1651" s="26" t="s">
        <v>5268</v>
      </c>
      <c r="D1651" s="279" t="s">
        <v>5269</v>
      </c>
      <c r="E1651" s="524" t="s">
        <v>5270</v>
      </c>
    </row>
    <row r="1652" spans="1:5">
      <c r="A1652" s="286" t="str">
        <f t="shared" si="28"/>
        <v>Eye protection</v>
      </c>
      <c r="B1652" s="26" t="s">
        <v>5271</v>
      </c>
      <c r="C1652" s="26" t="s">
        <v>5272</v>
      </c>
      <c r="D1652" s="279" t="s">
        <v>5273</v>
      </c>
      <c r="E1652" s="524" t="s">
        <v>5274</v>
      </c>
    </row>
    <row r="1653" spans="1:5" ht="41.4">
      <c r="A1653" s="286" t="str">
        <f t="shared" si="28"/>
        <v>Aerosol face protection (respirator, face shield, or splatter guard)</v>
      </c>
      <c r="B1653" s="26" t="s">
        <v>5275</v>
      </c>
      <c r="C1653" s="26" t="s">
        <v>5276</v>
      </c>
      <c r="D1653" s="279" t="s">
        <v>5277</v>
      </c>
      <c r="E1653" s="524" t="s">
        <v>5278</v>
      </c>
    </row>
    <row r="1654" spans="1:5" ht="41.4">
      <c r="A1654" s="286" t="str">
        <f t="shared" si="28"/>
        <v>Does lab policy require microbiology staff to wear close-toed shoes?</v>
      </c>
      <c r="B1654" s="26" t="s">
        <v>5279</v>
      </c>
      <c r="C1654" s="26" t="s">
        <v>5280</v>
      </c>
      <c r="D1654" s="279" t="s">
        <v>5281</v>
      </c>
      <c r="E1654" s="524" t="s">
        <v>5282</v>
      </c>
    </row>
    <row r="1655" spans="1:5" ht="41.4">
      <c r="A1655" s="286" t="str">
        <f t="shared" si="28"/>
        <v>Is PPE utilized appropriately and consistently by laboratory staff? (Observe)</v>
      </c>
      <c r="B1655" s="26" t="s">
        <v>5283</v>
      </c>
      <c r="C1655" s="26" t="s">
        <v>5284</v>
      </c>
      <c r="D1655" s="279" t="s">
        <v>5285</v>
      </c>
      <c r="E1655" s="524" t="s">
        <v>5286</v>
      </c>
    </row>
    <row r="1656" spans="1:5">
      <c r="A1656" s="286" t="str">
        <f t="shared" si="28"/>
        <v>1: Yes - 2: Partial - 3: No</v>
      </c>
      <c r="B1656" s="26" t="s">
        <v>3119</v>
      </c>
      <c r="C1656" s="26" t="s">
        <v>3120</v>
      </c>
      <c r="D1656" s="279" t="s">
        <v>3121</v>
      </c>
      <c r="E1656" s="524" t="s">
        <v>3122</v>
      </c>
    </row>
    <row r="1657" spans="1:5" ht="193.2">
      <c r="A1657" s="286" t="str">
        <f t="shared" si="28"/>
        <v>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v>
      </c>
      <c r="B1657" s="26" t="s">
        <v>5287</v>
      </c>
      <c r="C1657" s="26" t="s">
        <v>5288</v>
      </c>
      <c r="D1657" s="279" t="s">
        <v>5289</v>
      </c>
      <c r="E1657" s="524" t="s">
        <v>5290</v>
      </c>
    </row>
    <row r="1658" spans="1:5">
      <c r="A1658" s="286" t="str">
        <f t="shared" si="28"/>
        <v>BIOSAFETY BEHAVIORS</v>
      </c>
      <c r="B1658" s="26" t="s">
        <v>801</v>
      </c>
      <c r="C1658" s="26" t="s">
        <v>5291</v>
      </c>
      <c r="D1658" s="279" t="s">
        <v>803</v>
      </c>
      <c r="E1658" s="524" t="s">
        <v>804</v>
      </c>
    </row>
    <row r="1659" spans="1:5" ht="41.4">
      <c r="A1659" s="286" t="str">
        <f t="shared" si="28"/>
        <v>Does lab policy prohibit eating, drinking, and smoking in the laboratory?</v>
      </c>
      <c r="B1659" s="26" t="s">
        <v>5292</v>
      </c>
      <c r="C1659" s="26" t="s">
        <v>5293</v>
      </c>
      <c r="D1659" s="279" t="s">
        <v>5294</v>
      </c>
      <c r="E1659" s="524" t="s">
        <v>5295</v>
      </c>
    </row>
    <row r="1660" spans="1:5" ht="41.4">
      <c r="A1660" s="286" t="str">
        <f t="shared" si="28"/>
        <v>Observe the refrigerators and freezers where media and reagents are stored. Are they:</v>
      </c>
      <c r="B1660" s="26" t="s">
        <v>5296</v>
      </c>
      <c r="C1660" s="26" t="s">
        <v>5297</v>
      </c>
      <c r="D1660" s="279" t="s">
        <v>5298</v>
      </c>
      <c r="E1660" s="524" t="s">
        <v>5299</v>
      </c>
    </row>
    <row r="1661" spans="1:5" ht="27.6">
      <c r="A1661" s="286" t="str">
        <f t="shared" si="28"/>
        <v>Designated specifically for storage of media/reagents?</v>
      </c>
      <c r="B1661" s="26" t="s">
        <v>5300</v>
      </c>
      <c r="C1661" s="26" t="s">
        <v>5301</v>
      </c>
      <c r="D1661" s="279" t="s">
        <v>5302</v>
      </c>
      <c r="E1661" s="524" t="s">
        <v>5303</v>
      </c>
    </row>
    <row r="1662" spans="1:5">
      <c r="A1662" s="286" t="str">
        <f t="shared" si="28"/>
        <v>Free of staff food items?</v>
      </c>
      <c r="B1662" s="26" t="s">
        <v>5304</v>
      </c>
      <c r="C1662" s="26" t="s">
        <v>5305</v>
      </c>
      <c r="D1662" s="279" t="s">
        <v>5306</v>
      </c>
      <c r="E1662" s="524" t="s">
        <v>5307</v>
      </c>
    </row>
    <row r="1663" spans="1:5">
      <c r="A1663" s="286" t="str">
        <f t="shared" si="28"/>
        <v>Free of patient samples?</v>
      </c>
      <c r="B1663" s="26" t="s">
        <v>5308</v>
      </c>
      <c r="C1663" s="26" t="s">
        <v>5309</v>
      </c>
      <c r="D1663" s="279" t="s">
        <v>5310</v>
      </c>
      <c r="E1663" s="524" t="s">
        <v>5311</v>
      </c>
    </row>
    <row r="1664" spans="1:5">
      <c r="A1664" s="286" t="str">
        <f t="shared" si="28"/>
        <v>Well organized and free of clutter?</v>
      </c>
      <c r="B1664" s="26" t="s">
        <v>5312</v>
      </c>
      <c r="C1664" s="26" t="s">
        <v>5313</v>
      </c>
      <c r="D1664" s="279" t="s">
        <v>5314</v>
      </c>
      <c r="E1664" s="524" t="s">
        <v>5315</v>
      </c>
    </row>
    <row r="1665" spans="1:5" ht="55.2">
      <c r="A1665" s="286" t="str">
        <f t="shared" si="28"/>
        <v>Are all hazardous chemicals stored appropriately (acids separate from alkaline; flammables in a flame cabinet)?</v>
      </c>
      <c r="B1665" s="26" t="s">
        <v>5316</v>
      </c>
      <c r="C1665" s="26" t="s">
        <v>5317</v>
      </c>
      <c r="D1665" s="279" t="s">
        <v>5318</v>
      </c>
      <c r="E1665" s="524" t="s">
        <v>5319</v>
      </c>
    </row>
    <row r="1666" spans="1:5" ht="41.4">
      <c r="A1666" s="286" t="str">
        <f t="shared" si="28"/>
        <v xml:space="preserve">Is work area (bench and hood) disinfection documented daily? </v>
      </c>
      <c r="B1666" s="26" t="s">
        <v>5320</v>
      </c>
      <c r="C1666" s="26" t="s">
        <v>5321</v>
      </c>
      <c r="D1666" s="279" t="s">
        <v>5322</v>
      </c>
      <c r="E1666" s="524" t="s">
        <v>5323</v>
      </c>
    </row>
    <row r="1667" spans="1:5" ht="151.80000000000001">
      <c r="A1667" s="286" t="str">
        <f t="shared" si="28"/>
        <v>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v>
      </c>
      <c r="B1667" s="26" t="s">
        <v>5324</v>
      </c>
      <c r="C1667" s="26" t="s">
        <v>5325</v>
      </c>
      <c r="D1667" s="279" t="s">
        <v>5326</v>
      </c>
      <c r="E1667" s="524" t="s">
        <v>5327</v>
      </c>
    </row>
    <row r="1668" spans="1:5" ht="27.6">
      <c r="A1668" s="286" t="str">
        <f t="shared" ref="A1668:A1674" si="29">IF(langue=1,B1668,IF(langue=2,C1668,IF(langue=3,D1668,IF(langue=4,E1668,F1668))))</f>
        <v>BIOSAFETY DOCUMENTATION AND TRAINING</v>
      </c>
      <c r="B1668" s="26" t="s">
        <v>809</v>
      </c>
      <c r="C1668" s="26" t="s">
        <v>5328</v>
      </c>
      <c r="D1668" s="279" t="s">
        <v>811</v>
      </c>
      <c r="E1668" s="524" t="s">
        <v>5329</v>
      </c>
    </row>
    <row r="1669" spans="1:5" ht="55.2">
      <c r="A1669" s="286" t="str">
        <f t="shared" si="29"/>
        <v>Is a safety/biosafety manual available in the laboratory and easily accessible to all staff?</v>
      </c>
      <c r="B1669" s="26" t="s">
        <v>5330</v>
      </c>
      <c r="C1669" s="26" t="s">
        <v>5331</v>
      </c>
      <c r="D1669" s="279" t="s">
        <v>5332</v>
      </c>
      <c r="E1669" s="524" t="s">
        <v>5333</v>
      </c>
    </row>
    <row r="1670" spans="1:5" ht="41.4">
      <c r="A1670" s="286" t="str">
        <f t="shared" si="29"/>
        <v>Is a training module in safety/biosafety available in the laboratory?</v>
      </c>
      <c r="B1670" s="26" t="s">
        <v>5334</v>
      </c>
      <c r="C1670" s="26" t="s">
        <v>5335</v>
      </c>
      <c r="D1670" s="279" t="s">
        <v>5336</v>
      </c>
      <c r="E1670" s="524" t="s">
        <v>5337</v>
      </c>
    </row>
    <row r="1671" spans="1:5" ht="82.8">
      <c r="A1671" s="286" t="str">
        <f t="shared" si="29"/>
        <v>Is there documentation demonstrating that an annual safety/biosafety refresher course is conducted for all staff handling specimens, isolates, or chemicals?</v>
      </c>
      <c r="B1671" s="26" t="s">
        <v>5338</v>
      </c>
      <c r="C1671" s="26" t="s">
        <v>5339</v>
      </c>
      <c r="D1671" s="279" t="s">
        <v>5340</v>
      </c>
      <c r="E1671" s="524" t="s">
        <v>5341</v>
      </c>
    </row>
    <row r="1672" spans="1:5" ht="55.2">
      <c r="A1672" s="286" t="str">
        <f t="shared" si="29"/>
        <v>Is there documentation demonstrating that accident/incident investigations are systematically conducted?</v>
      </c>
      <c r="B1672" s="26" t="s">
        <v>5342</v>
      </c>
      <c r="C1672" s="26" t="s">
        <v>5343</v>
      </c>
      <c r="D1672" s="279" t="s">
        <v>5344</v>
      </c>
      <c r="E1672" s="524" t="s">
        <v>5345</v>
      </c>
    </row>
    <row r="1673" spans="1:5" ht="55.2">
      <c r="A1673" s="286" t="str">
        <f t="shared" si="29"/>
        <v>Are risk assessments conducted annually and each time a new analysis/technology/equipment is introduced?</v>
      </c>
      <c r="B1673" s="26" t="s">
        <v>5346</v>
      </c>
      <c r="C1673" s="26" t="s">
        <v>5347</v>
      </c>
      <c r="D1673" s="279" t="s">
        <v>5348</v>
      </c>
      <c r="E1673" s="524" t="s">
        <v>5349</v>
      </c>
    </row>
    <row r="1674" spans="1:5" ht="55.2">
      <c r="A1674" s="286" t="str">
        <f t="shared" si="29"/>
        <v>Refer to the User Guide for Export instructions. Failure to follow directions will result in major errors.</v>
      </c>
      <c r="B1674" s="26" t="s">
        <v>5350</v>
      </c>
      <c r="C1674" s="392" t="s">
        <v>5351</v>
      </c>
      <c r="D1674" s="391" t="s">
        <v>5352</v>
      </c>
      <c r="E1674" s="526" t="s">
        <v>5353</v>
      </c>
    </row>
    <row r="1675" spans="1:5">
      <c r="A1675" s="286"/>
      <c r="D1675" s="279"/>
    </row>
    <row r="1676" spans="1:5">
      <c r="A1676" s="286"/>
      <c r="D1676" s="279"/>
    </row>
    <row r="1677" spans="1:5">
      <c r="A1677" s="286"/>
      <c r="D1677" s="279"/>
      <c r="E1677" s="533"/>
    </row>
    <row r="1678" spans="1:5">
      <c r="A1678" s="286"/>
      <c r="D1678" s="279"/>
      <c r="E1678" s="533"/>
    </row>
    <row r="1679" spans="1:5">
      <c r="A1679" s="286"/>
      <c r="D1679" s="279"/>
      <c r="E1679" s="533"/>
    </row>
    <row r="1680" spans="1:5">
      <c r="A1680" s="286"/>
      <c r="D1680" s="279"/>
      <c r="E1680" s="533"/>
    </row>
    <row r="1681" spans="1:5">
      <c r="A1681" s="286"/>
      <c r="D1681" s="279"/>
      <c r="E1681" s="533"/>
    </row>
    <row r="1682" spans="1:5">
      <c r="A1682" s="286"/>
      <c r="D1682" s="279"/>
      <c r="E1682" s="533"/>
    </row>
    <row r="1683" spans="1:5">
      <c r="A1683" s="286"/>
      <c r="D1683" s="279"/>
      <c r="E1683" s="533"/>
    </row>
    <row r="1684" spans="1:5">
      <c r="A1684" s="286"/>
      <c r="D1684" s="279"/>
      <c r="E1684" s="533"/>
    </row>
    <row r="1685" spans="1:5">
      <c r="A1685" s="286"/>
      <c r="D1685" s="279"/>
      <c r="E1685" s="533"/>
    </row>
    <row r="1686" spans="1:5">
      <c r="A1686" s="286"/>
      <c r="D1686" s="279"/>
      <c r="E1686" s="533"/>
    </row>
    <row r="1687" spans="1:5">
      <c r="A1687" s="286"/>
      <c r="D1687" s="279"/>
      <c r="E1687" s="533"/>
    </row>
    <row r="1688" spans="1:5">
      <c r="A1688" s="286"/>
      <c r="D1688" s="279"/>
      <c r="E1688" s="533"/>
    </row>
    <row r="1689" spans="1:5">
      <c r="A1689" s="286"/>
      <c r="D1689" s="279"/>
      <c r="E1689" s="533"/>
    </row>
    <row r="1690" spans="1:5">
      <c r="A1690" s="286"/>
      <c r="D1690" s="279"/>
      <c r="E1690" s="533"/>
    </row>
    <row r="1691" spans="1:5">
      <c r="A1691" s="286"/>
      <c r="D1691" s="279"/>
      <c r="E1691" s="533"/>
    </row>
    <row r="1692" spans="1:5">
      <c r="A1692" s="286"/>
      <c r="D1692" s="279"/>
      <c r="E1692" s="533"/>
    </row>
    <row r="1693" spans="1:5">
      <c r="A1693" s="286"/>
      <c r="D1693" s="279"/>
      <c r="E1693" s="533"/>
    </row>
    <row r="1694" spans="1:5">
      <c r="A1694" s="286"/>
      <c r="D1694" s="279"/>
      <c r="E1694" s="533"/>
    </row>
    <row r="1695" spans="1:5">
      <c r="A1695" s="286"/>
      <c r="D1695" s="279"/>
      <c r="E1695" s="533"/>
    </row>
    <row r="1696" spans="1:5">
      <c r="A1696" s="286"/>
      <c r="D1696" s="279"/>
      <c r="E1696" s="533"/>
    </row>
    <row r="1697" spans="1:5">
      <c r="A1697" s="286"/>
      <c r="D1697" s="279"/>
      <c r="E1697" s="533"/>
    </row>
    <row r="1698" spans="1:5">
      <c r="A1698" s="286"/>
      <c r="D1698" s="279"/>
      <c r="E1698" s="533"/>
    </row>
    <row r="1699" spans="1:5">
      <c r="A1699" s="286"/>
      <c r="D1699" s="279"/>
      <c r="E1699" s="533"/>
    </row>
    <row r="1700" spans="1:5">
      <c r="A1700" s="286"/>
      <c r="D1700" s="279"/>
      <c r="E1700" s="533"/>
    </row>
    <row r="1701" spans="1:5">
      <c r="A1701" s="286"/>
      <c r="D1701" s="279"/>
      <c r="E1701" s="533"/>
    </row>
    <row r="1702" spans="1:5">
      <c r="A1702" s="286"/>
      <c r="D1702" s="279"/>
      <c r="E1702" s="533"/>
    </row>
    <row r="1703" spans="1:5">
      <c r="A1703" s="286"/>
      <c r="D1703" s="279"/>
      <c r="E1703" s="533"/>
    </row>
    <row r="1704" spans="1:5">
      <c r="A1704" s="286"/>
      <c r="D1704" s="279"/>
      <c r="E1704" s="533"/>
    </row>
    <row r="1705" spans="1:5">
      <c r="A1705" s="286"/>
      <c r="D1705" s="279"/>
      <c r="E1705" s="533"/>
    </row>
    <row r="1706" spans="1:5">
      <c r="A1706" s="286"/>
      <c r="D1706" s="279"/>
      <c r="E1706" s="533"/>
    </row>
    <row r="1707" spans="1:5">
      <c r="A1707" s="286"/>
      <c r="D1707" s="279"/>
      <c r="E1707" s="533"/>
    </row>
    <row r="1708" spans="1:5">
      <c r="A1708" s="286"/>
      <c r="D1708" s="279"/>
      <c r="E1708" s="533"/>
    </row>
    <row r="1709" spans="1:5">
      <c r="A1709" s="286"/>
      <c r="D1709" s="279"/>
      <c r="E1709" s="533"/>
    </row>
    <row r="1710" spans="1:5">
      <c r="A1710" s="286"/>
      <c r="D1710" s="279"/>
      <c r="E1710" s="533"/>
    </row>
    <row r="1711" spans="1:5">
      <c r="A1711" s="286"/>
      <c r="D1711" s="279"/>
      <c r="E1711" s="533"/>
    </row>
    <row r="1712" spans="1:5">
      <c r="A1712" s="286"/>
      <c r="D1712" s="279"/>
      <c r="E1712" s="533"/>
    </row>
    <row r="1713" spans="1:5">
      <c r="A1713" s="286"/>
      <c r="D1713" s="279"/>
      <c r="E1713" s="533"/>
    </row>
    <row r="1714" spans="1:5">
      <c r="A1714" s="286"/>
      <c r="D1714" s="279"/>
      <c r="E1714" s="533"/>
    </row>
    <row r="1715" spans="1:5">
      <c r="A1715" s="286"/>
      <c r="D1715" s="279"/>
      <c r="E1715" s="533"/>
    </row>
    <row r="1716" spans="1:5">
      <c r="A1716" s="286"/>
      <c r="D1716" s="279"/>
      <c r="E1716" s="533"/>
    </row>
    <row r="1717" spans="1:5">
      <c r="A1717" s="286"/>
      <c r="D1717" s="279"/>
      <c r="E1717" s="533"/>
    </row>
    <row r="1718" spans="1:5">
      <c r="A1718" s="286"/>
      <c r="D1718" s="279"/>
      <c r="E1718" s="533"/>
    </row>
    <row r="1719" spans="1:5">
      <c r="A1719" s="286"/>
      <c r="D1719" s="279"/>
      <c r="E1719" s="533"/>
    </row>
    <row r="1720" spans="1:5">
      <c r="A1720" s="286"/>
      <c r="D1720" s="279"/>
      <c r="E1720" s="533"/>
    </row>
    <row r="1721" spans="1:5">
      <c r="A1721" s="286"/>
      <c r="D1721" s="279"/>
      <c r="E1721" s="533"/>
    </row>
    <row r="1722" spans="1:5">
      <c r="A1722" s="286"/>
      <c r="D1722" s="279"/>
      <c r="E1722" s="533"/>
    </row>
    <row r="1723" spans="1:5">
      <c r="A1723" s="286"/>
      <c r="D1723" s="279"/>
      <c r="E1723" s="533"/>
    </row>
    <row r="1724" spans="1:5">
      <c r="A1724" s="286"/>
      <c r="D1724" s="279"/>
      <c r="E1724" s="533"/>
    </row>
    <row r="1725" spans="1:5">
      <c r="A1725" s="286"/>
      <c r="D1725" s="279"/>
      <c r="E1725" s="533"/>
    </row>
    <row r="1726" spans="1:5">
      <c r="A1726" s="286"/>
      <c r="D1726" s="279"/>
      <c r="E1726" s="533"/>
    </row>
    <row r="1727" spans="1:5">
      <c r="A1727" s="286"/>
      <c r="D1727" s="279"/>
      <c r="E1727" s="533"/>
    </row>
    <row r="1728" spans="1:5">
      <c r="A1728" s="286"/>
      <c r="D1728" s="279"/>
      <c r="E1728" s="533"/>
    </row>
    <row r="1729" spans="1:5">
      <c r="A1729" s="286"/>
      <c r="D1729" s="279"/>
      <c r="E1729" s="533"/>
    </row>
    <row r="1730" spans="1:5">
      <c r="A1730" s="286"/>
      <c r="D1730" s="279"/>
      <c r="E1730" s="533"/>
    </row>
    <row r="1731" spans="1:5">
      <c r="A1731" s="286"/>
      <c r="D1731" s="279"/>
      <c r="E1731" s="533"/>
    </row>
    <row r="1732" spans="1:5">
      <c r="A1732" s="286"/>
      <c r="D1732" s="279"/>
      <c r="E1732" s="533"/>
    </row>
    <row r="1733" spans="1:5">
      <c r="A1733" s="286"/>
      <c r="D1733" s="279"/>
      <c r="E1733" s="533"/>
    </row>
    <row r="1734" spans="1:5">
      <c r="A1734" s="286"/>
      <c r="D1734" s="279"/>
      <c r="E1734" s="533"/>
    </row>
    <row r="1735" spans="1:5">
      <c r="A1735" s="286"/>
      <c r="D1735" s="279"/>
      <c r="E1735" s="533"/>
    </row>
    <row r="1736" spans="1:5">
      <c r="A1736" s="286"/>
      <c r="D1736" s="279"/>
      <c r="E1736" s="533"/>
    </row>
    <row r="1737" spans="1:5">
      <c r="A1737" s="286"/>
      <c r="D1737" s="279"/>
      <c r="E1737" s="533"/>
    </row>
    <row r="1738" spans="1:5">
      <c r="A1738" s="286"/>
      <c r="D1738" s="279"/>
      <c r="E1738" s="533"/>
    </row>
    <row r="1739" spans="1:5">
      <c r="A1739" s="286"/>
      <c r="D1739" s="279"/>
      <c r="E1739" s="533"/>
    </row>
    <row r="1740" spans="1:5">
      <c r="A1740" s="286"/>
      <c r="D1740" s="279"/>
      <c r="E1740" s="533"/>
    </row>
    <row r="1741" spans="1:5">
      <c r="A1741" s="286"/>
      <c r="D1741" s="279"/>
      <c r="E1741" s="533"/>
    </row>
    <row r="1742" spans="1:5">
      <c r="A1742" s="286"/>
      <c r="D1742" s="279"/>
      <c r="E1742" s="533"/>
    </row>
    <row r="1743" spans="1:5">
      <c r="A1743" s="286"/>
      <c r="D1743" s="279"/>
      <c r="E1743" s="533"/>
    </row>
    <row r="1744" spans="1:5">
      <c r="A1744" s="286"/>
      <c r="D1744" s="279"/>
      <c r="E1744" s="533"/>
    </row>
    <row r="1745" spans="1:5">
      <c r="A1745" s="286"/>
      <c r="D1745" s="279"/>
      <c r="E1745" s="533"/>
    </row>
    <row r="1746" spans="1:5">
      <c r="A1746" s="286"/>
      <c r="D1746" s="279"/>
      <c r="E1746" s="533"/>
    </row>
    <row r="1747" spans="1:5">
      <c r="A1747" s="286"/>
      <c r="D1747" s="279"/>
      <c r="E1747" s="533"/>
    </row>
    <row r="1748" spans="1:5">
      <c r="A1748" s="286"/>
      <c r="D1748" s="279"/>
      <c r="E1748" s="533"/>
    </row>
    <row r="1749" spans="1:5">
      <c r="A1749" s="286"/>
      <c r="D1749" s="279"/>
      <c r="E1749" s="533"/>
    </row>
    <row r="1750" spans="1:5">
      <c r="A1750" s="286"/>
      <c r="D1750" s="279"/>
      <c r="E1750" s="533"/>
    </row>
    <row r="1751" spans="1:5">
      <c r="A1751" s="286"/>
      <c r="D1751" s="279"/>
      <c r="E1751" s="533"/>
    </row>
    <row r="1752" spans="1:5">
      <c r="A1752" s="286"/>
      <c r="D1752" s="279"/>
      <c r="E1752" s="533"/>
    </row>
    <row r="1753" spans="1:5">
      <c r="A1753" s="286"/>
      <c r="D1753" s="279"/>
      <c r="E1753" s="533"/>
    </row>
    <row r="1754" spans="1:5">
      <c r="A1754" s="286"/>
      <c r="D1754" s="279"/>
      <c r="E1754" s="533"/>
    </row>
    <row r="1755" spans="1:5">
      <c r="A1755" s="286"/>
      <c r="D1755" s="279"/>
      <c r="E1755" s="533"/>
    </row>
    <row r="1756" spans="1:5">
      <c r="A1756" s="286"/>
      <c r="D1756" s="279"/>
      <c r="E1756" s="533"/>
    </row>
    <row r="1757" spans="1:5">
      <c r="A1757" s="286"/>
      <c r="D1757" s="279"/>
      <c r="E1757" s="533"/>
    </row>
    <row r="1758" spans="1:5">
      <c r="A1758" s="286"/>
      <c r="D1758" s="279"/>
      <c r="E1758" s="533"/>
    </row>
    <row r="1759" spans="1:5">
      <c r="A1759" s="286"/>
      <c r="D1759" s="279"/>
      <c r="E1759" s="533"/>
    </row>
    <row r="1760" spans="1:5">
      <c r="A1760" s="286"/>
      <c r="D1760" s="279"/>
      <c r="E1760" s="533"/>
    </row>
    <row r="1761" spans="1:5">
      <c r="A1761" s="286"/>
      <c r="D1761" s="279"/>
      <c r="E1761" s="533"/>
    </row>
    <row r="1762" spans="1:5">
      <c r="A1762" s="286"/>
      <c r="D1762" s="279"/>
      <c r="E1762" s="533"/>
    </row>
    <row r="1763" spans="1:5">
      <c r="A1763" s="286"/>
      <c r="D1763" s="279"/>
      <c r="E1763" s="533"/>
    </row>
    <row r="1764" spans="1:5">
      <c r="A1764" s="286"/>
      <c r="D1764" s="279"/>
      <c r="E1764" s="533"/>
    </row>
    <row r="1765" spans="1:5">
      <c r="A1765" s="286"/>
      <c r="D1765" s="279"/>
      <c r="E1765" s="533"/>
    </row>
    <row r="1766" spans="1:5">
      <c r="A1766" s="286"/>
      <c r="D1766" s="279"/>
      <c r="E1766" s="533"/>
    </row>
    <row r="1767" spans="1:5">
      <c r="A1767" s="286"/>
      <c r="D1767" s="279"/>
      <c r="E1767" s="533"/>
    </row>
    <row r="1768" spans="1:5">
      <c r="A1768" s="286"/>
      <c r="D1768" s="279"/>
      <c r="E1768" s="533"/>
    </row>
    <row r="1769" spans="1:5">
      <c r="A1769" s="286"/>
      <c r="D1769" s="279"/>
      <c r="E1769" s="533"/>
    </row>
    <row r="1770" spans="1:5">
      <c r="A1770" s="286"/>
      <c r="D1770" s="279"/>
      <c r="E1770" s="533"/>
    </row>
    <row r="1771" spans="1:5">
      <c r="A1771" s="286"/>
      <c r="D1771" s="279"/>
      <c r="E1771" s="533"/>
    </row>
    <row r="1772" spans="1:5">
      <c r="A1772" s="286"/>
      <c r="D1772" s="279"/>
      <c r="E1772" s="533"/>
    </row>
    <row r="1773" spans="1:5">
      <c r="A1773" s="286"/>
      <c r="D1773" s="279"/>
      <c r="E1773" s="533"/>
    </row>
    <row r="1774" spans="1:5">
      <c r="A1774" s="286"/>
      <c r="D1774" s="279"/>
      <c r="E1774" s="533"/>
    </row>
    <row r="1775" spans="1:5">
      <c r="A1775" s="286"/>
      <c r="D1775" s="279"/>
      <c r="E1775" s="533"/>
    </row>
    <row r="1776" spans="1:5">
      <c r="A1776" s="286"/>
      <c r="D1776" s="279"/>
      <c r="E1776" s="533"/>
    </row>
    <row r="1777" spans="1:5">
      <c r="A1777" s="286"/>
      <c r="D1777" s="279"/>
      <c r="E1777" s="533"/>
    </row>
    <row r="1778" spans="1:5">
      <c r="A1778" s="286"/>
      <c r="D1778" s="279"/>
      <c r="E1778" s="533"/>
    </row>
    <row r="1779" spans="1:5">
      <c r="A1779" s="286"/>
      <c r="D1779" s="279"/>
      <c r="E1779" s="533"/>
    </row>
    <row r="1780" spans="1:5">
      <c r="A1780" s="286"/>
      <c r="D1780" s="279"/>
      <c r="E1780" s="533"/>
    </row>
    <row r="1781" spans="1:5">
      <c r="A1781" s="286"/>
      <c r="D1781" s="279"/>
      <c r="E1781" s="533"/>
    </row>
    <row r="1782" spans="1:5">
      <c r="A1782" s="286"/>
      <c r="D1782" s="279"/>
      <c r="E1782" s="533"/>
    </row>
    <row r="1783" spans="1:5">
      <c r="A1783" s="286"/>
      <c r="D1783" s="279"/>
      <c r="E1783" s="533"/>
    </row>
    <row r="1784" spans="1:5">
      <c r="A1784" s="286"/>
      <c r="D1784" s="279"/>
      <c r="E1784" s="533"/>
    </row>
    <row r="1785" spans="1:5">
      <c r="A1785" s="286"/>
      <c r="D1785" s="279"/>
      <c r="E1785" s="533"/>
    </row>
    <row r="1786" spans="1:5">
      <c r="A1786" s="286"/>
      <c r="D1786" s="279"/>
      <c r="E1786" s="533"/>
    </row>
    <row r="1787" spans="1:5">
      <c r="A1787" s="286"/>
      <c r="D1787" s="279"/>
      <c r="E1787" s="533"/>
    </row>
    <row r="1788" spans="1:5">
      <c r="A1788" s="286"/>
      <c r="D1788" s="279"/>
      <c r="E1788" s="533"/>
    </row>
    <row r="1789" spans="1:5">
      <c r="A1789" s="286"/>
      <c r="D1789" s="279"/>
      <c r="E1789" s="533"/>
    </row>
    <row r="1790" spans="1:5">
      <c r="A1790" s="286"/>
      <c r="D1790" s="279"/>
      <c r="E1790" s="533"/>
    </row>
    <row r="1791" spans="1:5">
      <c r="A1791" s="286"/>
      <c r="D1791" s="279"/>
      <c r="E1791" s="533"/>
    </row>
    <row r="1792" spans="1:5">
      <c r="A1792" s="286"/>
      <c r="D1792" s="279"/>
      <c r="E1792" s="533"/>
    </row>
    <row r="1793" spans="1:5">
      <c r="A1793" s="286"/>
      <c r="D1793" s="279"/>
      <c r="E1793" s="533"/>
    </row>
    <row r="1794" spans="1:5">
      <c r="A1794" s="286"/>
      <c r="D1794" s="279"/>
      <c r="E1794" s="533"/>
    </row>
    <row r="1795" spans="1:5">
      <c r="A1795" s="286"/>
      <c r="D1795" s="279"/>
      <c r="E1795" s="533"/>
    </row>
    <row r="1796" spans="1:5">
      <c r="A1796" s="286"/>
      <c r="D1796" s="279"/>
      <c r="E1796" s="533"/>
    </row>
    <row r="1797" spans="1:5">
      <c r="A1797" s="286"/>
      <c r="D1797" s="279"/>
      <c r="E1797" s="533"/>
    </row>
    <row r="1798" spans="1:5">
      <c r="A1798" s="286"/>
      <c r="D1798" s="279"/>
      <c r="E1798" s="533"/>
    </row>
    <row r="1799" spans="1:5">
      <c r="A1799" s="286"/>
      <c r="D1799" s="279"/>
      <c r="E1799" s="533"/>
    </row>
    <row r="1800" spans="1:5">
      <c r="A1800" s="286"/>
      <c r="D1800" s="279"/>
      <c r="E1800" s="533"/>
    </row>
    <row r="1801" spans="1:5">
      <c r="A1801" s="286"/>
      <c r="D1801" s="279"/>
      <c r="E1801" s="533"/>
    </row>
    <row r="1802" spans="1:5">
      <c r="A1802" s="286"/>
      <c r="D1802" s="279"/>
      <c r="E1802" s="533"/>
    </row>
    <row r="1803" spans="1:5">
      <c r="A1803" s="286"/>
      <c r="D1803" s="279"/>
      <c r="E1803" s="533"/>
    </row>
    <row r="1804" spans="1:5">
      <c r="A1804" s="286"/>
      <c r="D1804" s="279"/>
      <c r="E1804" s="533"/>
    </row>
    <row r="1805" spans="1:5">
      <c r="A1805" s="286"/>
      <c r="D1805" s="279"/>
      <c r="E1805" s="533"/>
    </row>
    <row r="1806" spans="1:5">
      <c r="A1806" s="286"/>
      <c r="D1806" s="279"/>
      <c r="E1806" s="533"/>
    </row>
    <row r="1807" spans="1:5">
      <c r="A1807" s="286"/>
      <c r="D1807" s="279"/>
      <c r="E1807" s="533"/>
    </row>
    <row r="1808" spans="1:5">
      <c r="A1808" s="286"/>
      <c r="D1808" s="279"/>
      <c r="E1808" s="533"/>
    </row>
    <row r="1809" spans="1:5">
      <c r="A1809" s="286"/>
      <c r="D1809" s="279"/>
      <c r="E1809" s="533"/>
    </row>
    <row r="1810" spans="1:5">
      <c r="A1810" s="286"/>
      <c r="D1810" s="279"/>
      <c r="E1810" s="533"/>
    </row>
    <row r="1811" spans="1:5">
      <c r="A1811" s="286"/>
      <c r="D1811" s="279"/>
      <c r="E1811" s="533"/>
    </row>
    <row r="1812" spans="1:5">
      <c r="A1812" s="286"/>
      <c r="D1812" s="279"/>
      <c r="E1812" s="533"/>
    </row>
    <row r="1813" spans="1:5">
      <c r="A1813" s="286"/>
      <c r="D1813" s="279"/>
      <c r="E1813" s="533"/>
    </row>
    <row r="1814" spans="1:5">
      <c r="A1814" s="286"/>
      <c r="D1814" s="279"/>
      <c r="E1814" s="533"/>
    </row>
    <row r="1815" spans="1:5">
      <c r="A1815" s="286"/>
      <c r="D1815" s="279"/>
      <c r="E1815" s="533"/>
    </row>
    <row r="1816" spans="1:5">
      <c r="A1816" s="286"/>
      <c r="D1816" s="279"/>
      <c r="E1816" s="533"/>
    </row>
    <row r="1817" spans="1:5">
      <c r="A1817" s="286"/>
      <c r="D1817" s="279"/>
      <c r="E1817" s="533"/>
    </row>
    <row r="1818" spans="1:5">
      <c r="A1818" s="286"/>
      <c r="D1818" s="279"/>
      <c r="E1818" s="533"/>
    </row>
    <row r="1819" spans="1:5">
      <c r="A1819" s="286"/>
      <c r="D1819" s="279"/>
      <c r="E1819" s="533"/>
    </row>
    <row r="1820" spans="1:5">
      <c r="A1820" s="286"/>
      <c r="D1820" s="279"/>
      <c r="E1820" s="533"/>
    </row>
    <row r="1821" spans="1:5">
      <c r="A1821" s="286"/>
      <c r="D1821" s="279"/>
      <c r="E1821" s="533"/>
    </row>
    <row r="1822" spans="1:5">
      <c r="A1822" s="286"/>
      <c r="D1822" s="279"/>
      <c r="E1822" s="533"/>
    </row>
    <row r="1823" spans="1:5">
      <c r="A1823" s="286"/>
      <c r="D1823" s="279"/>
      <c r="E1823" s="533"/>
    </row>
    <row r="1824" spans="1:5">
      <c r="A1824" s="286"/>
      <c r="D1824" s="279"/>
      <c r="E1824" s="533"/>
    </row>
    <row r="1825" spans="1:5">
      <c r="A1825" s="286"/>
      <c r="D1825" s="279"/>
      <c r="E1825" s="533"/>
    </row>
    <row r="1826" spans="1:5">
      <c r="A1826" s="286"/>
      <c r="D1826" s="279"/>
      <c r="E1826" s="533"/>
    </row>
    <row r="1827" spans="1:5">
      <c r="A1827" s="286"/>
      <c r="D1827" s="279"/>
      <c r="E1827" s="533"/>
    </row>
    <row r="1828" spans="1:5">
      <c r="A1828" s="286"/>
      <c r="D1828" s="279"/>
      <c r="E1828" s="533"/>
    </row>
    <row r="1829" spans="1:5">
      <c r="A1829" s="286"/>
      <c r="D1829" s="279"/>
      <c r="E1829" s="533"/>
    </row>
    <row r="1830" spans="1:5">
      <c r="A1830" s="286"/>
      <c r="D1830" s="279"/>
      <c r="E1830" s="533"/>
    </row>
    <row r="1831" spans="1:5">
      <c r="A1831" s="286"/>
      <c r="D1831" s="279"/>
      <c r="E1831" s="533"/>
    </row>
    <row r="1832" spans="1:5">
      <c r="A1832" s="286"/>
      <c r="D1832" s="279"/>
      <c r="E1832" s="533"/>
    </row>
    <row r="1833" spans="1:5">
      <c r="A1833" s="286"/>
      <c r="D1833" s="279"/>
      <c r="E1833" s="533"/>
    </row>
    <row r="1834" spans="1:5">
      <c r="A1834" s="286"/>
      <c r="D1834" s="279"/>
      <c r="E1834" s="533"/>
    </row>
    <row r="1835" spans="1:5">
      <c r="A1835" s="286"/>
      <c r="D1835" s="279"/>
      <c r="E1835" s="533"/>
    </row>
    <row r="1836" spans="1:5">
      <c r="A1836" s="286"/>
      <c r="D1836" s="279"/>
      <c r="E1836" s="533"/>
    </row>
    <row r="1837" spans="1:5">
      <c r="A1837" s="286"/>
      <c r="D1837" s="279"/>
      <c r="E1837" s="533"/>
    </row>
    <row r="1838" spans="1:5">
      <c r="A1838" s="286"/>
      <c r="D1838" s="279"/>
      <c r="E1838" s="533"/>
    </row>
    <row r="1839" spans="1:5">
      <c r="A1839" s="286"/>
      <c r="D1839" s="279"/>
      <c r="E1839" s="533"/>
    </row>
    <row r="1840" spans="1:5">
      <c r="A1840" s="286"/>
      <c r="D1840" s="279"/>
      <c r="E1840" s="533"/>
    </row>
    <row r="1841" spans="1:5">
      <c r="A1841" s="286"/>
      <c r="D1841" s="279"/>
      <c r="E1841" s="533"/>
    </row>
    <row r="1842" spans="1:5">
      <c r="A1842" s="286"/>
      <c r="D1842" s="279"/>
      <c r="E1842" s="533"/>
    </row>
    <row r="1843" spans="1:5">
      <c r="A1843" s="286"/>
      <c r="D1843" s="279"/>
      <c r="E1843" s="533"/>
    </row>
    <row r="1844" spans="1:5">
      <c r="A1844" s="286"/>
      <c r="D1844" s="279"/>
      <c r="E1844" s="533"/>
    </row>
    <row r="1845" spans="1:5">
      <c r="A1845" s="286"/>
      <c r="D1845" s="279"/>
      <c r="E1845" s="533"/>
    </row>
    <row r="1846" spans="1:5">
      <c r="A1846" s="286"/>
      <c r="D1846" s="279"/>
      <c r="E1846" s="533"/>
    </row>
    <row r="1847" spans="1:5">
      <c r="A1847" s="286"/>
      <c r="D1847" s="279"/>
      <c r="E1847" s="533"/>
    </row>
    <row r="1848" spans="1:5">
      <c r="A1848" s="286"/>
      <c r="D1848" s="279"/>
      <c r="E1848" s="533"/>
    </row>
    <row r="1849" spans="1:5">
      <c r="A1849" s="286"/>
      <c r="D1849" s="279"/>
      <c r="E1849" s="533"/>
    </row>
    <row r="1850" spans="1:5">
      <c r="A1850" s="286"/>
      <c r="D1850" s="279"/>
      <c r="E1850" s="533"/>
    </row>
    <row r="1851" spans="1:5">
      <c r="A1851" s="286"/>
      <c r="D1851" s="279"/>
      <c r="E1851" s="533"/>
    </row>
    <row r="1852" spans="1:5">
      <c r="A1852" s="286"/>
      <c r="D1852" s="279"/>
      <c r="E1852" s="533"/>
    </row>
    <row r="1853" spans="1:5">
      <c r="A1853" s="286"/>
      <c r="D1853" s="279"/>
      <c r="E1853" s="533"/>
    </row>
    <row r="1854" spans="1:5">
      <c r="A1854" s="286"/>
      <c r="D1854" s="279"/>
      <c r="E1854" s="533"/>
    </row>
    <row r="1855" spans="1:5">
      <c r="A1855" s="286"/>
      <c r="D1855" s="279"/>
      <c r="E1855" s="533"/>
    </row>
    <row r="1856" spans="1:5">
      <c r="A1856" s="286"/>
      <c r="D1856" s="279"/>
      <c r="E1856" s="533"/>
    </row>
    <row r="1857" spans="1:5">
      <c r="A1857" s="286"/>
      <c r="D1857" s="279"/>
      <c r="E1857" s="533"/>
    </row>
    <row r="1858" spans="1:5">
      <c r="A1858" s="286"/>
      <c r="D1858" s="279"/>
      <c r="E1858" s="533"/>
    </row>
    <row r="1859" spans="1:5">
      <c r="A1859" s="286"/>
      <c r="D1859" s="279"/>
      <c r="E1859" s="533"/>
    </row>
    <row r="1860" spans="1:5">
      <c r="A1860" s="286"/>
      <c r="D1860" s="279"/>
      <c r="E1860" s="533"/>
    </row>
    <row r="1861" spans="1:5">
      <c r="A1861" s="286"/>
      <c r="D1861" s="279"/>
      <c r="E1861" s="533"/>
    </row>
    <row r="1862" spans="1:5">
      <c r="A1862" s="286"/>
      <c r="D1862" s="279"/>
      <c r="E1862" s="533"/>
    </row>
    <row r="1863" spans="1:5">
      <c r="A1863" s="286"/>
      <c r="D1863" s="279"/>
      <c r="E1863" s="533"/>
    </row>
    <row r="1864" spans="1:5">
      <c r="A1864" s="286"/>
      <c r="D1864" s="279"/>
      <c r="E1864" s="533"/>
    </row>
    <row r="1865" spans="1:5">
      <c r="A1865" s="286"/>
      <c r="D1865" s="279"/>
      <c r="E1865" s="533"/>
    </row>
    <row r="1866" spans="1:5">
      <c r="A1866" s="286"/>
      <c r="D1866" s="279"/>
      <c r="E1866" s="533"/>
    </row>
    <row r="1867" spans="1:5">
      <c r="A1867" s="286"/>
      <c r="D1867" s="279"/>
      <c r="E1867" s="533"/>
    </row>
    <row r="1868" spans="1:5">
      <c r="A1868" s="286"/>
      <c r="D1868" s="279"/>
      <c r="E1868" s="533"/>
    </row>
    <row r="1869" spans="1:5">
      <c r="A1869" s="286"/>
      <c r="D1869" s="279"/>
      <c r="E1869" s="533"/>
    </row>
    <row r="1870" spans="1:5">
      <c r="A1870" s="286"/>
      <c r="D1870" s="279"/>
      <c r="E1870" s="533"/>
    </row>
    <row r="1871" spans="1:5">
      <c r="A1871" s="286"/>
      <c r="D1871" s="279"/>
      <c r="E1871" s="533"/>
    </row>
    <row r="1872" spans="1:5">
      <c r="A1872" s="286"/>
      <c r="D1872" s="279"/>
      <c r="E1872" s="533"/>
    </row>
    <row r="1873" spans="1:5">
      <c r="A1873" s="286"/>
      <c r="D1873" s="279"/>
      <c r="E1873" s="533"/>
    </row>
    <row r="1874" spans="1:5">
      <c r="A1874" s="286"/>
      <c r="D1874" s="279"/>
      <c r="E1874" s="533"/>
    </row>
    <row r="1875" spans="1:5">
      <c r="A1875" s="286"/>
      <c r="D1875" s="279"/>
      <c r="E1875" s="533"/>
    </row>
    <row r="1876" spans="1:5">
      <c r="A1876" s="286"/>
      <c r="D1876" s="279"/>
      <c r="E1876" s="533"/>
    </row>
    <row r="1877" spans="1:5">
      <c r="A1877" s="286"/>
      <c r="D1877" s="279"/>
      <c r="E1877" s="533"/>
    </row>
    <row r="1878" spans="1:5">
      <c r="A1878" s="286"/>
      <c r="D1878" s="279"/>
      <c r="E1878" s="533"/>
    </row>
    <row r="1879" spans="1:5">
      <c r="A1879" s="286"/>
      <c r="D1879" s="279"/>
      <c r="E1879" s="533"/>
    </row>
    <row r="1880" spans="1:5">
      <c r="A1880" s="286"/>
      <c r="D1880" s="279"/>
      <c r="E1880" s="533"/>
    </row>
    <row r="1881" spans="1:5">
      <c r="A1881" s="286"/>
      <c r="D1881" s="279"/>
      <c r="E1881" s="533"/>
    </row>
    <row r="1882" spans="1:5">
      <c r="A1882" s="286"/>
      <c r="D1882" s="279"/>
      <c r="E1882" s="533"/>
    </row>
    <row r="1883" spans="1:5">
      <c r="A1883" s="286"/>
      <c r="D1883" s="279"/>
      <c r="E1883" s="533"/>
    </row>
    <row r="1884" spans="1:5">
      <c r="A1884" s="286"/>
      <c r="D1884" s="279"/>
      <c r="E1884" s="533"/>
    </row>
    <row r="1885" spans="1:5">
      <c r="A1885" s="286"/>
      <c r="D1885" s="279"/>
      <c r="E1885" s="533"/>
    </row>
    <row r="1886" spans="1:5">
      <c r="A1886" s="286"/>
      <c r="D1886" s="279"/>
      <c r="E1886" s="533"/>
    </row>
    <row r="1887" spans="1:5">
      <c r="A1887" s="286"/>
      <c r="D1887" s="279"/>
      <c r="E1887" s="533"/>
    </row>
    <row r="1888" spans="1:5">
      <c r="A1888" s="286"/>
      <c r="D1888" s="279"/>
      <c r="E1888" s="533"/>
    </row>
    <row r="1889" spans="1:5">
      <c r="A1889" s="286"/>
      <c r="D1889" s="279"/>
      <c r="E1889" s="533"/>
    </row>
    <row r="1890" spans="1:5">
      <c r="A1890" s="286"/>
      <c r="D1890" s="279"/>
      <c r="E1890" s="533"/>
    </row>
    <row r="1891" spans="1:5">
      <c r="A1891" s="286"/>
      <c r="D1891" s="279"/>
      <c r="E1891" s="533"/>
    </row>
    <row r="1892" spans="1:5">
      <c r="A1892" s="286"/>
      <c r="D1892" s="279"/>
      <c r="E1892" s="533"/>
    </row>
    <row r="1893" spans="1:5">
      <c r="A1893" s="286"/>
      <c r="D1893" s="279"/>
      <c r="E1893" s="533"/>
    </row>
    <row r="1894" spans="1:5">
      <c r="A1894" s="286"/>
      <c r="D1894" s="279"/>
      <c r="E1894" s="533"/>
    </row>
    <row r="1895" spans="1:5">
      <c r="A1895" s="286"/>
      <c r="D1895" s="279"/>
      <c r="E1895" s="533"/>
    </row>
    <row r="1896" spans="1:5">
      <c r="A1896" s="286"/>
      <c r="D1896" s="279"/>
      <c r="E1896" s="533"/>
    </row>
    <row r="1897" spans="1:5">
      <c r="A1897" s="286"/>
      <c r="D1897" s="279"/>
      <c r="E1897" s="533"/>
    </row>
    <row r="1898" spans="1:5">
      <c r="A1898" s="286"/>
      <c r="D1898" s="279"/>
      <c r="E1898" s="533"/>
    </row>
    <row r="1899" spans="1:5">
      <c r="A1899" s="286"/>
      <c r="D1899" s="279"/>
      <c r="E1899" s="533"/>
    </row>
    <row r="1900" spans="1:5">
      <c r="A1900" s="286"/>
      <c r="D1900" s="279"/>
      <c r="E1900" s="533"/>
    </row>
    <row r="1901" spans="1:5">
      <c r="A1901" s="286"/>
      <c r="D1901" s="279"/>
      <c r="E1901" s="533"/>
    </row>
    <row r="1902" spans="1:5">
      <c r="A1902" s="286"/>
      <c r="D1902" s="279"/>
      <c r="E1902" s="533"/>
    </row>
    <row r="1903" spans="1:5">
      <c r="A1903" s="286"/>
      <c r="D1903" s="279"/>
      <c r="E1903" s="533"/>
    </row>
    <row r="1904" spans="1:5">
      <c r="A1904" s="286"/>
      <c r="D1904" s="279"/>
      <c r="E1904" s="533"/>
    </row>
    <row r="1905" spans="1:5">
      <c r="A1905" s="286"/>
      <c r="D1905" s="279"/>
      <c r="E1905" s="533"/>
    </row>
    <row r="1906" spans="1:5">
      <c r="A1906" s="286"/>
      <c r="D1906" s="279"/>
      <c r="E1906" s="533"/>
    </row>
    <row r="1907" spans="1:5">
      <c r="A1907" s="286"/>
      <c r="D1907" s="279"/>
      <c r="E1907" s="533"/>
    </row>
    <row r="1908" spans="1:5">
      <c r="A1908" s="286"/>
      <c r="D1908" s="279"/>
      <c r="E1908" s="533"/>
    </row>
    <row r="1909" spans="1:5">
      <c r="A1909" s="286"/>
      <c r="D1909" s="279"/>
      <c r="E1909" s="533"/>
    </row>
    <row r="1910" spans="1:5">
      <c r="A1910" s="286"/>
      <c r="D1910" s="279"/>
      <c r="E1910" s="533"/>
    </row>
    <row r="1911" spans="1:5">
      <c r="A1911" s="286"/>
      <c r="D1911" s="279"/>
      <c r="E1911" s="533"/>
    </row>
    <row r="1912" spans="1:5">
      <c r="A1912" s="286"/>
      <c r="D1912" s="279"/>
      <c r="E1912" s="533"/>
    </row>
    <row r="1913" spans="1:5">
      <c r="A1913" s="286"/>
      <c r="D1913" s="279"/>
      <c r="E1913" s="533"/>
    </row>
    <row r="1914" spans="1:5">
      <c r="A1914" s="286"/>
      <c r="D1914" s="279"/>
      <c r="E1914" s="533"/>
    </row>
    <row r="1915" spans="1:5">
      <c r="A1915" s="286"/>
      <c r="D1915" s="279"/>
      <c r="E1915" s="533"/>
    </row>
    <row r="1916" spans="1:5">
      <c r="A1916" s="286"/>
      <c r="D1916" s="279"/>
      <c r="E1916" s="533"/>
    </row>
    <row r="1917" spans="1:5">
      <c r="A1917" s="286"/>
      <c r="D1917" s="279"/>
      <c r="E1917" s="533"/>
    </row>
    <row r="1918" spans="1:5">
      <c r="A1918" s="286"/>
      <c r="D1918" s="279"/>
      <c r="E1918" s="533"/>
    </row>
    <row r="1919" spans="1:5">
      <c r="A1919" s="286"/>
      <c r="D1919" s="279"/>
      <c r="E1919" s="533"/>
    </row>
    <row r="1920" spans="1:5">
      <c r="A1920" s="286"/>
      <c r="D1920" s="279"/>
      <c r="E1920" s="533"/>
    </row>
    <row r="1921" spans="1:5">
      <c r="A1921" s="286"/>
      <c r="D1921" s="279"/>
      <c r="E1921" s="533"/>
    </row>
    <row r="1922" spans="1:5">
      <c r="A1922" s="286"/>
      <c r="D1922" s="279"/>
      <c r="E1922" s="533"/>
    </row>
    <row r="1923" spans="1:5">
      <c r="A1923" s="286"/>
      <c r="D1923" s="279"/>
      <c r="E1923" s="533"/>
    </row>
    <row r="1924" spans="1:5">
      <c r="A1924" s="286"/>
      <c r="D1924" s="279"/>
      <c r="E1924" s="533"/>
    </row>
    <row r="1925" spans="1:5">
      <c r="A1925" s="286"/>
      <c r="D1925" s="279"/>
      <c r="E1925" s="533"/>
    </row>
    <row r="1926" spans="1:5">
      <c r="A1926" s="286"/>
      <c r="D1926" s="279"/>
      <c r="E1926" s="533"/>
    </row>
    <row r="1927" spans="1:5">
      <c r="A1927" s="286"/>
      <c r="D1927" s="279"/>
      <c r="E1927" s="533"/>
    </row>
    <row r="1928" spans="1:5">
      <c r="A1928" s="286"/>
      <c r="D1928" s="279"/>
      <c r="E1928" s="533"/>
    </row>
    <row r="1929" spans="1:5">
      <c r="A1929" s="286"/>
      <c r="D1929" s="279"/>
      <c r="E1929" s="533"/>
    </row>
    <row r="1930" spans="1:5">
      <c r="A1930" s="286"/>
      <c r="D1930" s="279"/>
      <c r="E1930" s="533"/>
    </row>
    <row r="1931" spans="1:5">
      <c r="A1931" s="286"/>
      <c r="D1931" s="279"/>
      <c r="E1931" s="533"/>
    </row>
    <row r="1932" spans="1:5">
      <c r="A1932" s="286"/>
      <c r="D1932" s="279"/>
      <c r="E1932" s="533"/>
    </row>
    <row r="1933" spans="1:5">
      <c r="A1933" s="286"/>
      <c r="D1933" s="279"/>
      <c r="E1933" s="533"/>
    </row>
    <row r="1934" spans="1:5">
      <c r="A1934" s="286"/>
      <c r="D1934" s="279"/>
      <c r="E1934" s="533"/>
    </row>
    <row r="1935" spans="1:5">
      <c r="A1935" s="286"/>
      <c r="D1935" s="279"/>
      <c r="E1935" s="533"/>
    </row>
    <row r="1936" spans="1:5">
      <c r="A1936" s="286"/>
      <c r="D1936" s="279"/>
      <c r="E1936" s="533"/>
    </row>
    <row r="1937" spans="1:5">
      <c r="A1937" s="286"/>
      <c r="D1937" s="279"/>
      <c r="E1937" s="533"/>
    </row>
    <row r="1938" spans="1:5">
      <c r="A1938" s="286"/>
      <c r="D1938" s="279"/>
      <c r="E1938" s="533"/>
    </row>
    <row r="1939" spans="1:5">
      <c r="A1939" s="286"/>
      <c r="D1939" s="279"/>
      <c r="E1939" s="533"/>
    </row>
    <row r="1940" spans="1:5">
      <c r="A1940" s="286"/>
      <c r="D1940" s="279"/>
      <c r="E1940" s="533"/>
    </row>
    <row r="1941" spans="1:5">
      <c r="A1941" s="286"/>
      <c r="D1941" s="279"/>
      <c r="E1941" s="533"/>
    </row>
    <row r="1942" spans="1:5">
      <c r="A1942" s="286"/>
      <c r="D1942" s="279"/>
      <c r="E1942" s="533"/>
    </row>
    <row r="1943" spans="1:5">
      <c r="A1943" s="286"/>
      <c r="D1943" s="279"/>
      <c r="E1943" s="533"/>
    </row>
    <row r="1944" spans="1:5">
      <c r="A1944" s="286"/>
      <c r="D1944" s="279"/>
      <c r="E1944" s="533"/>
    </row>
    <row r="1945" spans="1:5">
      <c r="A1945" s="286"/>
      <c r="D1945" s="279"/>
      <c r="E1945" s="533"/>
    </row>
    <row r="1946" spans="1:5">
      <c r="A1946" s="286"/>
      <c r="D1946" s="279"/>
      <c r="E1946" s="533"/>
    </row>
    <row r="1947" spans="1:5">
      <c r="A1947" s="286"/>
      <c r="D1947" s="279"/>
      <c r="E1947" s="533"/>
    </row>
    <row r="1948" spans="1:5">
      <c r="A1948" s="286"/>
      <c r="D1948" s="279"/>
      <c r="E1948" s="533"/>
    </row>
    <row r="1949" spans="1:5">
      <c r="A1949" s="286"/>
      <c r="D1949" s="279"/>
      <c r="E1949" s="533"/>
    </row>
    <row r="1950" spans="1:5">
      <c r="A1950" s="286"/>
      <c r="D1950" s="279"/>
      <c r="E1950" s="533"/>
    </row>
    <row r="1951" spans="1:5">
      <c r="A1951" s="286"/>
      <c r="D1951" s="279"/>
      <c r="E1951" s="533"/>
    </row>
    <row r="1952" spans="1:5">
      <c r="A1952" s="286"/>
      <c r="D1952" s="279"/>
      <c r="E1952" s="533"/>
    </row>
    <row r="1953" spans="1:5">
      <c r="A1953" s="286"/>
      <c r="D1953" s="279"/>
      <c r="E1953" s="533"/>
    </row>
    <row r="1954" spans="1:5">
      <c r="A1954" s="286"/>
      <c r="D1954" s="279"/>
      <c r="E1954" s="533"/>
    </row>
    <row r="1955" spans="1:5">
      <c r="A1955" s="286"/>
      <c r="D1955" s="279"/>
      <c r="E1955" s="533"/>
    </row>
    <row r="1956" spans="1:5">
      <c r="A1956" s="286"/>
      <c r="D1956" s="279"/>
      <c r="E1956" s="533"/>
    </row>
    <row r="1957" spans="1:5">
      <c r="A1957" s="286"/>
      <c r="D1957" s="279"/>
      <c r="E1957" s="533"/>
    </row>
    <row r="1958" spans="1:5">
      <c r="A1958" s="286"/>
      <c r="D1958" s="279"/>
      <c r="E1958" s="533"/>
    </row>
    <row r="1959" spans="1:5">
      <c r="A1959" s="286"/>
      <c r="D1959" s="279"/>
      <c r="E1959" s="533"/>
    </row>
    <row r="1960" spans="1:5">
      <c r="A1960" s="286"/>
      <c r="D1960" s="279"/>
      <c r="E1960" s="533"/>
    </row>
    <row r="1961" spans="1:5">
      <c r="A1961" s="286"/>
      <c r="D1961" s="279"/>
      <c r="E1961" s="533"/>
    </row>
    <row r="1962" spans="1:5">
      <c r="A1962" s="286"/>
      <c r="D1962" s="279"/>
      <c r="E1962" s="533"/>
    </row>
    <row r="1963" spans="1:5">
      <c r="A1963" s="286"/>
      <c r="D1963" s="279"/>
      <c r="E1963" s="533"/>
    </row>
    <row r="1964" spans="1:5">
      <c r="A1964" s="286"/>
      <c r="D1964" s="279"/>
      <c r="E1964" s="533"/>
    </row>
    <row r="1965" spans="1:5">
      <c r="A1965" s="286"/>
      <c r="D1965" s="279"/>
      <c r="E1965" s="533"/>
    </row>
    <row r="1966" spans="1:5">
      <c r="A1966" s="286"/>
      <c r="D1966" s="279"/>
      <c r="E1966" s="533"/>
    </row>
    <row r="1967" spans="1:5">
      <c r="A1967" s="286"/>
      <c r="D1967" s="279"/>
      <c r="E1967" s="533"/>
    </row>
    <row r="1968" spans="1:5">
      <c r="A1968" s="286"/>
      <c r="D1968" s="279"/>
      <c r="E1968" s="533"/>
    </row>
    <row r="1969" spans="1:5">
      <c r="A1969" s="286"/>
      <c r="D1969" s="279"/>
      <c r="E1969" s="533"/>
    </row>
    <row r="1970" spans="1:5">
      <c r="A1970" s="286"/>
      <c r="D1970" s="279"/>
      <c r="E1970" s="533"/>
    </row>
    <row r="1971" spans="1:5">
      <c r="A1971" s="286"/>
      <c r="D1971" s="279"/>
      <c r="E1971" s="533"/>
    </row>
    <row r="1972" spans="1:5">
      <c r="A1972" s="286"/>
      <c r="D1972" s="279"/>
      <c r="E1972" s="533"/>
    </row>
    <row r="1973" spans="1:5">
      <c r="A1973" s="286"/>
      <c r="D1973" s="279"/>
      <c r="E1973" s="533"/>
    </row>
    <row r="1974" spans="1:5">
      <c r="A1974" s="286"/>
      <c r="D1974" s="279"/>
      <c r="E1974" s="533"/>
    </row>
    <row r="1975" spans="1:5">
      <c r="A1975" s="286"/>
      <c r="D1975" s="279"/>
      <c r="E1975" s="533"/>
    </row>
    <row r="1976" spans="1:5">
      <c r="A1976" s="286"/>
      <c r="D1976" s="279"/>
      <c r="E1976" s="533"/>
    </row>
    <row r="1977" spans="1:5">
      <c r="A1977" s="286"/>
      <c r="D1977" s="279"/>
      <c r="E1977" s="533"/>
    </row>
    <row r="1978" spans="1:5">
      <c r="A1978" s="286"/>
      <c r="D1978" s="279"/>
      <c r="E1978" s="533"/>
    </row>
    <row r="1979" spans="1:5">
      <c r="A1979" s="286"/>
      <c r="D1979" s="279"/>
      <c r="E1979" s="533"/>
    </row>
    <row r="1980" spans="1:5">
      <c r="A1980" s="286"/>
      <c r="D1980" s="279"/>
      <c r="E1980" s="533"/>
    </row>
    <row r="1981" spans="1:5">
      <c r="A1981" s="286"/>
      <c r="D1981" s="279"/>
      <c r="E1981" s="533"/>
    </row>
    <row r="1982" spans="1:5">
      <c r="A1982" s="286"/>
      <c r="D1982" s="279"/>
      <c r="E1982" s="533"/>
    </row>
    <row r="1983" spans="1:5">
      <c r="A1983" s="286"/>
      <c r="D1983" s="279"/>
      <c r="E1983" s="533"/>
    </row>
    <row r="1984" spans="1:5">
      <c r="A1984" s="286"/>
      <c r="D1984" s="279"/>
      <c r="E1984" s="533"/>
    </row>
    <row r="1985" spans="1:5">
      <c r="A1985" s="286"/>
      <c r="D1985" s="279"/>
      <c r="E1985" s="533"/>
    </row>
    <row r="1986" spans="1:5">
      <c r="A1986" s="286"/>
      <c r="D1986" s="279"/>
      <c r="E1986" s="533"/>
    </row>
    <row r="1987" spans="1:5">
      <c r="A1987" s="286"/>
      <c r="D1987" s="279"/>
      <c r="E1987" s="533"/>
    </row>
    <row r="1988" spans="1:5">
      <c r="A1988" s="286"/>
      <c r="D1988" s="279"/>
      <c r="E1988" s="533"/>
    </row>
    <row r="1989" spans="1:5">
      <c r="A1989" s="286"/>
      <c r="D1989" s="279"/>
      <c r="E1989" s="533"/>
    </row>
    <row r="1990" spans="1:5">
      <c r="A1990" s="286"/>
      <c r="D1990" s="279"/>
      <c r="E1990" s="533"/>
    </row>
    <row r="1991" spans="1:5">
      <c r="A1991" s="286"/>
      <c r="D1991" s="279"/>
      <c r="E1991" s="533"/>
    </row>
    <row r="1992" spans="1:5">
      <c r="A1992" s="286"/>
      <c r="D1992" s="279"/>
      <c r="E1992" s="533"/>
    </row>
    <row r="1993" spans="1:5">
      <c r="A1993" s="286"/>
      <c r="D1993" s="279"/>
      <c r="E1993" s="533"/>
    </row>
    <row r="1994" spans="1:5">
      <c r="A1994" s="286"/>
      <c r="D1994" s="279"/>
      <c r="E1994" s="533"/>
    </row>
    <row r="1995" spans="1:5">
      <c r="A1995" s="286"/>
      <c r="D1995" s="279"/>
      <c r="E1995" s="533"/>
    </row>
    <row r="1996" spans="1:5">
      <c r="A1996" s="286"/>
      <c r="D1996" s="279"/>
      <c r="E1996" s="533"/>
    </row>
    <row r="1997" spans="1:5">
      <c r="A1997" s="286"/>
      <c r="D1997" s="279"/>
      <c r="E1997" s="533"/>
    </row>
    <row r="1998" spans="1:5">
      <c r="A1998" s="286"/>
      <c r="D1998" s="279"/>
      <c r="E1998" s="533"/>
    </row>
    <row r="1999" spans="1:5">
      <c r="A1999" s="286"/>
      <c r="D1999" s="279"/>
      <c r="E1999" s="533"/>
    </row>
    <row r="2000" spans="1:5">
      <c r="A2000" s="286"/>
      <c r="D2000" s="279"/>
      <c r="E2000" s="533"/>
    </row>
    <row r="2001" spans="1:5">
      <c r="A2001" s="286"/>
      <c r="D2001" s="279"/>
      <c r="E2001" s="533"/>
    </row>
    <row r="2002" spans="1:5">
      <c r="A2002" s="286"/>
      <c r="D2002" s="279"/>
      <c r="E2002" s="533"/>
    </row>
    <row r="2003" spans="1:5">
      <c r="A2003" s="286"/>
      <c r="D2003" s="279"/>
      <c r="E2003" s="533"/>
    </row>
    <row r="2004" spans="1:5">
      <c r="A2004" s="286"/>
      <c r="D2004" s="279"/>
      <c r="E2004" s="533"/>
    </row>
    <row r="2005" spans="1:5">
      <c r="A2005" s="286"/>
      <c r="D2005" s="279"/>
      <c r="E2005" s="533"/>
    </row>
    <row r="2006" spans="1:5">
      <c r="A2006" s="286"/>
      <c r="D2006" s="279"/>
      <c r="E2006" s="533"/>
    </row>
    <row r="2007" spans="1:5">
      <c r="A2007" s="286"/>
      <c r="D2007" s="279"/>
      <c r="E2007" s="533"/>
    </row>
    <row r="2008" spans="1:5">
      <c r="A2008" s="286"/>
      <c r="D2008" s="279"/>
      <c r="E2008" s="533"/>
    </row>
    <row r="2009" spans="1:5">
      <c r="A2009" s="286"/>
      <c r="D2009" s="279"/>
      <c r="E2009" s="533"/>
    </row>
    <row r="2010" spans="1:5">
      <c r="A2010" s="286"/>
      <c r="D2010" s="279"/>
      <c r="E2010" s="533"/>
    </row>
    <row r="2011" spans="1:5">
      <c r="A2011" s="286"/>
      <c r="D2011" s="279"/>
      <c r="E2011" s="533"/>
    </row>
    <row r="2012" spans="1:5">
      <c r="A2012" s="286"/>
      <c r="D2012" s="279"/>
      <c r="E2012" s="533"/>
    </row>
    <row r="2013" spans="1:5">
      <c r="A2013" s="286"/>
      <c r="D2013" s="279"/>
      <c r="E2013" s="533"/>
    </row>
    <row r="2014" spans="1:5">
      <c r="A2014" s="286"/>
      <c r="D2014" s="279"/>
      <c r="E2014" s="533"/>
    </row>
    <row r="2015" spans="1:5">
      <c r="A2015" s="286"/>
      <c r="D2015" s="279"/>
      <c r="E2015" s="533"/>
    </row>
    <row r="2016" spans="1:5">
      <c r="A2016" s="286"/>
      <c r="D2016" s="279"/>
      <c r="E2016" s="533"/>
    </row>
    <row r="2017" spans="1:5">
      <c r="A2017" s="286"/>
      <c r="D2017" s="279"/>
      <c r="E2017" s="533"/>
    </row>
    <row r="2018" spans="1:5">
      <c r="A2018" s="286"/>
      <c r="D2018" s="279"/>
      <c r="E2018" s="533"/>
    </row>
    <row r="2019" spans="1:5">
      <c r="A2019" s="286"/>
      <c r="D2019" s="279"/>
      <c r="E2019" s="533"/>
    </row>
    <row r="2020" spans="1:5">
      <c r="A2020" s="286"/>
      <c r="D2020" s="279"/>
      <c r="E2020" s="533"/>
    </row>
    <row r="2021" spans="1:5">
      <c r="A2021" s="286"/>
      <c r="D2021" s="279"/>
      <c r="E2021" s="533"/>
    </row>
    <row r="2022" spans="1:5">
      <c r="A2022" s="286"/>
      <c r="D2022" s="279"/>
      <c r="E2022" s="533"/>
    </row>
    <row r="2023" spans="1:5">
      <c r="A2023" s="286"/>
      <c r="D2023" s="279"/>
      <c r="E2023" s="533"/>
    </row>
    <row r="2024" spans="1:5">
      <c r="A2024" s="286"/>
      <c r="D2024" s="279"/>
      <c r="E2024" s="533"/>
    </row>
    <row r="2025" spans="1:5">
      <c r="A2025" s="286"/>
      <c r="D2025" s="279"/>
      <c r="E2025" s="533"/>
    </row>
    <row r="2026" spans="1:5">
      <c r="A2026" s="286"/>
      <c r="D2026" s="279"/>
      <c r="E2026" s="533"/>
    </row>
    <row r="2027" spans="1:5">
      <c r="A2027" s="286"/>
      <c r="D2027" s="279"/>
      <c r="E2027" s="533"/>
    </row>
    <row r="2028" spans="1:5">
      <c r="A2028" s="286"/>
      <c r="D2028" s="279"/>
      <c r="E2028" s="533"/>
    </row>
    <row r="2029" spans="1:5">
      <c r="A2029" s="286"/>
      <c r="D2029" s="279"/>
      <c r="E2029" s="533"/>
    </row>
    <row r="2030" spans="1:5">
      <c r="A2030" s="286"/>
      <c r="D2030" s="279"/>
      <c r="E2030" s="533"/>
    </row>
    <row r="2031" spans="1:5">
      <c r="A2031" s="286"/>
      <c r="D2031" s="279"/>
      <c r="E2031" s="533"/>
    </row>
    <row r="2032" spans="1:5">
      <c r="A2032" s="286"/>
      <c r="D2032" s="279"/>
      <c r="E2032" s="533"/>
    </row>
    <row r="2033" spans="1:5">
      <c r="A2033" s="286"/>
      <c r="D2033" s="279"/>
      <c r="E2033" s="533"/>
    </row>
    <row r="2034" spans="1:5">
      <c r="A2034" s="286"/>
      <c r="D2034" s="279"/>
      <c r="E2034" s="533"/>
    </row>
    <row r="2035" spans="1:5">
      <c r="A2035" s="286"/>
      <c r="D2035" s="279"/>
      <c r="E2035" s="533"/>
    </row>
    <row r="2036" spans="1:5">
      <c r="A2036" s="286"/>
      <c r="D2036" s="279"/>
      <c r="E2036" s="533"/>
    </row>
    <row r="2037" spans="1:5">
      <c r="A2037" s="286"/>
      <c r="D2037" s="279"/>
      <c r="E2037" s="533"/>
    </row>
    <row r="2038" spans="1:5">
      <c r="A2038" s="286"/>
      <c r="D2038" s="279"/>
      <c r="E2038" s="533"/>
    </row>
    <row r="2039" spans="1:5">
      <c r="A2039" s="286"/>
      <c r="D2039" s="279"/>
      <c r="E2039" s="533"/>
    </row>
    <row r="2040" spans="1:5">
      <c r="A2040" s="286"/>
      <c r="D2040" s="279"/>
      <c r="E2040" s="533"/>
    </row>
    <row r="2041" spans="1:5">
      <c r="A2041" s="286"/>
      <c r="D2041" s="279"/>
      <c r="E2041" s="533"/>
    </row>
    <row r="2042" spans="1:5">
      <c r="A2042" s="286"/>
      <c r="D2042" s="279"/>
      <c r="E2042" s="533"/>
    </row>
    <row r="2043" spans="1:5">
      <c r="A2043" s="286"/>
      <c r="D2043" s="279"/>
      <c r="E2043" s="533"/>
    </row>
    <row r="2044" spans="1:5">
      <c r="A2044" s="286"/>
      <c r="D2044" s="279"/>
      <c r="E2044" s="533"/>
    </row>
    <row r="2045" spans="1:5">
      <c r="A2045" s="286"/>
      <c r="D2045" s="279"/>
      <c r="E2045" s="533"/>
    </row>
    <row r="2046" spans="1:5">
      <c r="A2046" s="286"/>
      <c r="D2046" s="279"/>
      <c r="E2046" s="533"/>
    </row>
    <row r="2047" spans="1:5">
      <c r="A2047" s="286"/>
      <c r="D2047" s="279"/>
      <c r="E2047" s="533"/>
    </row>
    <row r="2048" spans="1:5">
      <c r="A2048" s="286"/>
      <c r="D2048" s="279"/>
      <c r="E2048" s="533"/>
    </row>
    <row r="2049" spans="1:5">
      <c r="A2049" s="286"/>
      <c r="D2049" s="279"/>
      <c r="E2049" s="533"/>
    </row>
    <row r="2050" spans="1:5">
      <c r="A2050" s="286"/>
      <c r="D2050" s="279"/>
      <c r="E2050" s="533"/>
    </row>
    <row r="2051" spans="1:5">
      <c r="A2051" s="286"/>
      <c r="D2051" s="279"/>
      <c r="E2051" s="533"/>
    </row>
    <row r="2052" spans="1:5">
      <c r="A2052" s="286"/>
      <c r="D2052" s="279"/>
      <c r="E2052" s="533"/>
    </row>
    <row r="2053" spans="1:5">
      <c r="A2053" s="286"/>
      <c r="D2053" s="279"/>
      <c r="E2053" s="533"/>
    </row>
    <row r="2054" spans="1:5">
      <c r="A2054" s="286"/>
      <c r="D2054" s="279"/>
      <c r="E2054" s="533"/>
    </row>
    <row r="2055" spans="1:5">
      <c r="A2055" s="286"/>
      <c r="D2055" s="279"/>
      <c r="E2055" s="533"/>
    </row>
    <row r="2056" spans="1:5">
      <c r="A2056" s="286"/>
      <c r="D2056" s="279"/>
      <c r="E2056" s="533"/>
    </row>
    <row r="2057" spans="1:5">
      <c r="A2057" s="286"/>
      <c r="D2057" s="279"/>
      <c r="E2057" s="533"/>
    </row>
    <row r="2058" spans="1:5">
      <c r="A2058" s="286"/>
      <c r="D2058" s="279"/>
      <c r="E2058" s="533"/>
    </row>
    <row r="2059" spans="1:5">
      <c r="A2059" s="286"/>
      <c r="D2059" s="279"/>
      <c r="E2059" s="533"/>
    </row>
    <row r="2060" spans="1:5">
      <c r="A2060" s="286"/>
      <c r="D2060" s="279"/>
      <c r="E2060" s="533"/>
    </row>
    <row r="2061" spans="1:5">
      <c r="A2061" s="286"/>
      <c r="D2061" s="279"/>
      <c r="E2061" s="533"/>
    </row>
    <row r="2062" spans="1:5">
      <c r="A2062" s="286"/>
      <c r="D2062" s="279"/>
      <c r="E2062" s="533"/>
    </row>
    <row r="2063" spans="1:5">
      <c r="A2063" s="286"/>
      <c r="D2063" s="279"/>
      <c r="E2063" s="533"/>
    </row>
    <row r="2064" spans="1:5">
      <c r="A2064" s="286"/>
      <c r="D2064" s="279"/>
      <c r="E2064" s="533"/>
    </row>
    <row r="2065" spans="1:5">
      <c r="A2065" s="286"/>
      <c r="D2065" s="279"/>
      <c r="E2065" s="533"/>
    </row>
    <row r="2066" spans="1:5">
      <c r="A2066" s="286"/>
      <c r="D2066" s="279"/>
      <c r="E2066" s="533"/>
    </row>
    <row r="2067" spans="1:5">
      <c r="A2067" s="286"/>
      <c r="D2067" s="279"/>
      <c r="E2067" s="533"/>
    </row>
    <row r="2068" spans="1:5">
      <c r="A2068" s="286"/>
      <c r="D2068" s="279"/>
      <c r="E2068" s="533"/>
    </row>
    <row r="2069" spans="1:5">
      <c r="A2069" s="286"/>
      <c r="D2069" s="279"/>
      <c r="E2069" s="533"/>
    </row>
    <row r="2070" spans="1:5">
      <c r="A2070" s="286"/>
      <c r="D2070" s="279"/>
      <c r="E2070" s="533"/>
    </row>
    <row r="2071" spans="1:5">
      <c r="A2071" s="286"/>
      <c r="D2071" s="279"/>
      <c r="E2071" s="533"/>
    </row>
    <row r="2072" spans="1:5">
      <c r="A2072" s="286"/>
      <c r="D2072" s="279"/>
      <c r="E2072" s="533"/>
    </row>
    <row r="2073" spans="1:5">
      <c r="A2073" s="286"/>
      <c r="D2073" s="279"/>
      <c r="E2073" s="533"/>
    </row>
    <row r="2074" spans="1:5">
      <c r="A2074" s="286"/>
      <c r="D2074" s="279"/>
      <c r="E2074" s="533"/>
    </row>
    <row r="2075" spans="1:5">
      <c r="A2075" s="286"/>
      <c r="D2075" s="279"/>
      <c r="E2075" s="533"/>
    </row>
    <row r="2076" spans="1:5">
      <c r="A2076" s="286"/>
      <c r="D2076" s="279"/>
      <c r="E2076" s="533"/>
    </row>
    <row r="2077" spans="1:5">
      <c r="A2077" s="286"/>
      <c r="D2077" s="279"/>
      <c r="E2077" s="533"/>
    </row>
    <row r="2078" spans="1:5">
      <c r="A2078" s="286"/>
      <c r="D2078" s="279"/>
      <c r="E2078" s="533"/>
    </row>
    <row r="2079" spans="1:5">
      <c r="A2079" s="286"/>
      <c r="D2079" s="279"/>
      <c r="E2079" s="533"/>
    </row>
    <row r="2080" spans="1:5">
      <c r="A2080" s="286"/>
      <c r="D2080" s="279"/>
      <c r="E2080" s="533"/>
    </row>
    <row r="2081" spans="1:5">
      <c r="A2081" s="286"/>
      <c r="D2081" s="279"/>
      <c r="E2081" s="533"/>
    </row>
    <row r="2082" spans="1:5">
      <c r="A2082" s="286"/>
      <c r="D2082" s="279"/>
      <c r="E2082" s="533"/>
    </row>
    <row r="2083" spans="1:5">
      <c r="A2083" s="286"/>
      <c r="D2083" s="279"/>
      <c r="E2083" s="533"/>
    </row>
    <row r="2084" spans="1:5">
      <c r="A2084" s="286"/>
      <c r="D2084" s="279"/>
      <c r="E2084" s="533"/>
    </row>
    <row r="2085" spans="1:5">
      <c r="A2085" s="286"/>
      <c r="D2085" s="279"/>
      <c r="E2085" s="533"/>
    </row>
    <row r="2086" spans="1:5">
      <c r="A2086" s="286"/>
      <c r="D2086" s="279"/>
      <c r="E2086" s="533"/>
    </row>
    <row r="2087" spans="1:5">
      <c r="A2087" s="286"/>
      <c r="D2087" s="279"/>
      <c r="E2087" s="533"/>
    </row>
    <row r="2088" spans="1:5">
      <c r="A2088" s="286"/>
      <c r="D2088" s="279"/>
      <c r="E2088" s="533"/>
    </row>
    <row r="2089" spans="1:5">
      <c r="A2089" s="286"/>
      <c r="D2089" s="279"/>
      <c r="E2089" s="533"/>
    </row>
    <row r="2090" spans="1:5">
      <c r="A2090" s="286"/>
      <c r="D2090" s="279"/>
      <c r="E2090" s="533"/>
    </row>
    <row r="2091" spans="1:5">
      <c r="A2091" s="286"/>
      <c r="D2091" s="279"/>
      <c r="E2091" s="533"/>
    </row>
    <row r="2092" spans="1:5">
      <c r="A2092" s="286"/>
      <c r="D2092" s="279"/>
      <c r="E2092" s="533"/>
    </row>
    <row r="2093" spans="1:5">
      <c r="A2093" s="286"/>
      <c r="D2093" s="279"/>
      <c r="E2093" s="533"/>
    </row>
    <row r="2094" spans="1:5">
      <c r="A2094" s="286"/>
      <c r="D2094" s="279"/>
      <c r="E2094" s="533"/>
    </row>
    <row r="2095" spans="1:5">
      <c r="A2095" s="286"/>
      <c r="D2095" s="279"/>
      <c r="E2095" s="533"/>
    </row>
    <row r="2096" spans="1:5">
      <c r="A2096" s="286"/>
      <c r="D2096" s="279"/>
      <c r="E2096" s="533"/>
    </row>
    <row r="2097" spans="1:5">
      <c r="A2097" s="286"/>
      <c r="D2097" s="279"/>
      <c r="E2097" s="533"/>
    </row>
    <row r="2098" spans="1:5">
      <c r="A2098" s="286"/>
      <c r="D2098" s="279"/>
      <c r="E2098" s="533"/>
    </row>
    <row r="2099" spans="1:5">
      <c r="A2099" s="286"/>
      <c r="D2099" s="279"/>
      <c r="E2099" s="533"/>
    </row>
    <row r="2100" spans="1:5">
      <c r="A2100" s="286"/>
      <c r="D2100" s="279"/>
      <c r="E2100" s="533"/>
    </row>
    <row r="2101" spans="1:5">
      <c r="A2101" s="286"/>
      <c r="D2101" s="279"/>
      <c r="E2101" s="533"/>
    </row>
    <row r="2102" spans="1:5">
      <c r="A2102" s="286"/>
      <c r="D2102" s="279"/>
      <c r="E2102" s="533"/>
    </row>
    <row r="2103" spans="1:5">
      <c r="A2103" s="286"/>
      <c r="D2103" s="279"/>
      <c r="E2103" s="533"/>
    </row>
    <row r="2104" spans="1:5">
      <c r="A2104" s="286"/>
      <c r="D2104" s="279"/>
      <c r="E2104" s="533"/>
    </row>
    <row r="2105" spans="1:5">
      <c r="A2105" s="286"/>
      <c r="D2105" s="279"/>
      <c r="E2105" s="533"/>
    </row>
    <row r="2106" spans="1:5">
      <c r="A2106" s="286"/>
      <c r="D2106" s="279"/>
      <c r="E2106" s="533"/>
    </row>
    <row r="2107" spans="1:5">
      <c r="A2107" s="286"/>
      <c r="D2107" s="279"/>
      <c r="E2107" s="533"/>
    </row>
    <row r="2108" spans="1:5">
      <c r="A2108" s="286"/>
      <c r="D2108" s="279"/>
      <c r="E2108" s="533"/>
    </row>
    <row r="2109" spans="1:5">
      <c r="A2109" s="286"/>
      <c r="D2109" s="279"/>
      <c r="E2109" s="533"/>
    </row>
    <row r="2110" spans="1:5">
      <c r="A2110" s="286"/>
      <c r="D2110" s="279"/>
      <c r="E2110" s="533"/>
    </row>
    <row r="2111" spans="1:5">
      <c r="A2111" s="286"/>
      <c r="D2111" s="279"/>
      <c r="E2111" s="533"/>
    </row>
    <row r="2112" spans="1:5">
      <c r="A2112" s="286"/>
      <c r="D2112" s="279"/>
      <c r="E2112" s="533"/>
    </row>
    <row r="2113" spans="1:5">
      <c r="A2113" s="286"/>
      <c r="D2113" s="279"/>
      <c r="E2113" s="533"/>
    </row>
    <row r="2114" spans="1:5">
      <c r="A2114" s="286"/>
      <c r="D2114" s="279"/>
      <c r="E2114" s="533"/>
    </row>
    <row r="2115" spans="1:5">
      <c r="A2115" s="286"/>
      <c r="D2115" s="279"/>
      <c r="E2115" s="533"/>
    </row>
    <row r="2116" spans="1:5">
      <c r="A2116" s="286"/>
      <c r="D2116" s="279"/>
      <c r="E2116" s="533"/>
    </row>
    <row r="2117" spans="1:5">
      <c r="A2117" s="286"/>
      <c r="D2117" s="279"/>
      <c r="E2117" s="533"/>
    </row>
    <row r="2118" spans="1:5">
      <c r="A2118" s="286"/>
      <c r="D2118" s="279"/>
      <c r="E2118" s="533"/>
    </row>
    <row r="2119" spans="1:5">
      <c r="A2119" s="286"/>
      <c r="D2119" s="279"/>
      <c r="E2119" s="533"/>
    </row>
    <row r="2120" spans="1:5">
      <c r="A2120" s="286"/>
      <c r="D2120" s="279"/>
      <c r="E2120" s="533"/>
    </row>
    <row r="2121" spans="1:5">
      <c r="A2121" s="286"/>
      <c r="D2121" s="279"/>
      <c r="E2121" s="533"/>
    </row>
    <row r="2122" spans="1:5">
      <c r="A2122" s="286"/>
      <c r="D2122" s="279"/>
      <c r="E2122" s="533"/>
    </row>
    <row r="2123" spans="1:5">
      <c r="A2123" s="286"/>
      <c r="D2123" s="279"/>
      <c r="E2123" s="533"/>
    </row>
    <row r="2124" spans="1:5">
      <c r="A2124" s="286"/>
      <c r="D2124" s="279"/>
      <c r="E2124" s="533"/>
    </row>
    <row r="2125" spans="1:5">
      <c r="A2125" s="286"/>
      <c r="D2125" s="279"/>
      <c r="E2125" s="533"/>
    </row>
    <row r="2126" spans="1:5">
      <c r="A2126" s="286"/>
      <c r="D2126" s="279"/>
      <c r="E2126" s="533"/>
    </row>
    <row r="2127" spans="1:5">
      <c r="A2127" s="286"/>
      <c r="D2127" s="279"/>
      <c r="E2127" s="533"/>
    </row>
    <row r="2128" spans="1:5">
      <c r="A2128" s="286"/>
      <c r="D2128" s="279"/>
      <c r="E2128" s="533"/>
    </row>
    <row r="2129" spans="1:5">
      <c r="A2129" s="286"/>
      <c r="D2129" s="279"/>
      <c r="E2129" s="533"/>
    </row>
    <row r="2130" spans="1:5">
      <c r="A2130" s="286"/>
      <c r="D2130" s="279"/>
      <c r="E2130" s="533"/>
    </row>
    <row r="2131" spans="1:5">
      <c r="A2131" s="286"/>
      <c r="D2131" s="279"/>
      <c r="E2131" s="533"/>
    </row>
    <row r="2132" spans="1:5">
      <c r="A2132" s="286"/>
      <c r="D2132" s="279"/>
      <c r="E2132" s="533"/>
    </row>
    <row r="2133" spans="1:5">
      <c r="A2133" s="286"/>
      <c r="D2133" s="279"/>
      <c r="E2133" s="533"/>
    </row>
    <row r="2134" spans="1:5">
      <c r="A2134" s="286"/>
      <c r="D2134" s="279"/>
      <c r="E2134" s="533"/>
    </row>
    <row r="2135" spans="1:5">
      <c r="A2135" s="286"/>
      <c r="D2135" s="279"/>
      <c r="E2135" s="533"/>
    </row>
    <row r="2136" spans="1:5">
      <c r="A2136" s="286"/>
      <c r="D2136" s="279"/>
      <c r="E2136" s="533"/>
    </row>
    <row r="2137" spans="1:5">
      <c r="A2137" s="286"/>
      <c r="D2137" s="279"/>
      <c r="E2137" s="533"/>
    </row>
    <row r="2138" spans="1:5">
      <c r="A2138" s="286"/>
      <c r="D2138" s="279"/>
      <c r="E2138" s="533"/>
    </row>
    <row r="2139" spans="1:5">
      <c r="A2139" s="286"/>
      <c r="D2139" s="279"/>
      <c r="E2139" s="533"/>
    </row>
    <row r="2140" spans="1:5">
      <c r="A2140" s="286"/>
      <c r="D2140" s="279"/>
      <c r="E2140" s="533"/>
    </row>
    <row r="2141" spans="1:5">
      <c r="A2141" s="286"/>
      <c r="D2141" s="279"/>
      <c r="E2141" s="533"/>
    </row>
    <row r="2142" spans="1:5">
      <c r="A2142" s="286"/>
      <c r="D2142" s="279"/>
      <c r="E2142" s="533"/>
    </row>
    <row r="2143" spans="1:5">
      <c r="A2143" s="286"/>
      <c r="D2143" s="279"/>
      <c r="E2143" s="533"/>
    </row>
    <row r="2144" spans="1:5">
      <c r="A2144" s="286"/>
      <c r="D2144" s="279"/>
      <c r="E2144" s="533"/>
    </row>
    <row r="2145" spans="1:5">
      <c r="A2145" s="286"/>
      <c r="D2145" s="279"/>
      <c r="E2145" s="533"/>
    </row>
    <row r="2146" spans="1:5">
      <c r="A2146" s="286"/>
      <c r="D2146" s="279"/>
      <c r="E2146" s="533"/>
    </row>
    <row r="2147" spans="1:5">
      <c r="A2147" s="286"/>
      <c r="D2147" s="279"/>
      <c r="E2147" s="533"/>
    </row>
    <row r="2148" spans="1:5">
      <c r="A2148" s="286"/>
      <c r="D2148" s="279"/>
      <c r="E2148" s="533"/>
    </row>
    <row r="2149" spans="1:5">
      <c r="A2149" s="286"/>
      <c r="D2149" s="279"/>
      <c r="E2149" s="533"/>
    </row>
    <row r="2150" spans="1:5">
      <c r="A2150" s="286"/>
      <c r="D2150" s="279"/>
      <c r="E2150" s="533"/>
    </row>
    <row r="2151" spans="1:5">
      <c r="A2151" s="286"/>
      <c r="D2151" s="279"/>
      <c r="E2151" s="533"/>
    </row>
    <row r="2152" spans="1:5">
      <c r="A2152" s="286"/>
      <c r="D2152" s="279"/>
      <c r="E2152" s="533"/>
    </row>
    <row r="2153" spans="1:5">
      <c r="A2153" s="286"/>
      <c r="D2153" s="279"/>
      <c r="E2153" s="533"/>
    </row>
    <row r="2154" spans="1:5">
      <c r="A2154" s="286"/>
      <c r="D2154" s="279"/>
      <c r="E2154" s="533"/>
    </row>
    <row r="2155" spans="1:5">
      <c r="A2155" s="286"/>
      <c r="D2155" s="279"/>
      <c r="E2155" s="533"/>
    </row>
    <row r="2156" spans="1:5">
      <c r="A2156" s="286"/>
      <c r="D2156" s="279"/>
      <c r="E2156" s="533"/>
    </row>
    <row r="2157" spans="1:5">
      <c r="A2157" s="286"/>
      <c r="D2157" s="279"/>
      <c r="E2157" s="533"/>
    </row>
    <row r="2158" spans="1:5">
      <c r="A2158" s="286"/>
      <c r="D2158" s="279"/>
      <c r="E2158" s="533"/>
    </row>
    <row r="2159" spans="1:5">
      <c r="A2159" s="286"/>
      <c r="D2159" s="279"/>
      <c r="E2159" s="533"/>
    </row>
    <row r="2160" spans="1:5">
      <c r="A2160" s="286"/>
      <c r="D2160" s="279"/>
      <c r="E2160" s="533"/>
    </row>
    <row r="2161" spans="1:5">
      <c r="A2161" s="286"/>
      <c r="D2161" s="279"/>
      <c r="E2161" s="533"/>
    </row>
    <row r="2162" spans="1:5">
      <c r="A2162" s="286"/>
      <c r="D2162" s="279"/>
      <c r="E2162" s="533"/>
    </row>
    <row r="2163" spans="1:5">
      <c r="A2163" s="286"/>
      <c r="D2163" s="279"/>
      <c r="E2163" s="533"/>
    </row>
    <row r="2164" spans="1:5">
      <c r="A2164" s="286"/>
      <c r="D2164" s="279"/>
      <c r="E2164" s="533"/>
    </row>
    <row r="2165" spans="1:5">
      <c r="A2165" s="286"/>
      <c r="D2165" s="279"/>
      <c r="E2165" s="533"/>
    </row>
    <row r="2166" spans="1:5">
      <c r="A2166" s="286"/>
      <c r="D2166" s="279"/>
      <c r="E2166" s="533"/>
    </row>
    <row r="2167" spans="1:5">
      <c r="A2167" s="286"/>
      <c r="D2167" s="279"/>
      <c r="E2167" s="533"/>
    </row>
    <row r="2168" spans="1:5">
      <c r="A2168" s="286"/>
      <c r="D2168" s="279"/>
      <c r="E2168" s="533"/>
    </row>
    <row r="2169" spans="1:5">
      <c r="A2169" s="286"/>
      <c r="D2169" s="279"/>
      <c r="E2169" s="533"/>
    </row>
    <row r="2170" spans="1:5">
      <c r="A2170" s="286"/>
      <c r="D2170" s="279"/>
      <c r="E2170" s="533"/>
    </row>
    <row r="2171" spans="1:5">
      <c r="A2171" s="286"/>
      <c r="D2171" s="279"/>
      <c r="E2171" s="533"/>
    </row>
    <row r="2172" spans="1:5">
      <c r="A2172" s="286"/>
      <c r="D2172" s="279"/>
      <c r="E2172" s="533"/>
    </row>
    <row r="2173" spans="1:5">
      <c r="A2173" s="286"/>
      <c r="D2173" s="279"/>
      <c r="E2173" s="533"/>
    </row>
    <row r="2174" spans="1:5">
      <c r="A2174" s="286"/>
      <c r="D2174" s="279"/>
      <c r="E2174" s="533"/>
    </row>
    <row r="2175" spans="1:5">
      <c r="A2175" s="286"/>
      <c r="D2175" s="279"/>
      <c r="E2175" s="533"/>
    </row>
    <row r="2176" spans="1:5">
      <c r="A2176" s="286"/>
      <c r="D2176" s="279"/>
      <c r="E2176" s="533"/>
    </row>
    <row r="2177" spans="1:5">
      <c r="A2177" s="286"/>
      <c r="D2177" s="279"/>
      <c r="E2177" s="533"/>
    </row>
    <row r="2178" spans="1:5">
      <c r="A2178" s="286"/>
      <c r="D2178" s="279"/>
      <c r="E2178" s="533"/>
    </row>
    <row r="2179" spans="1:5">
      <c r="A2179" s="286"/>
      <c r="D2179" s="279"/>
      <c r="E2179" s="533"/>
    </row>
    <row r="2180" spans="1:5">
      <c r="A2180" s="286"/>
      <c r="D2180" s="279"/>
      <c r="E2180" s="533"/>
    </row>
    <row r="2181" spans="1:5">
      <c r="A2181" s="286"/>
      <c r="D2181" s="279"/>
      <c r="E2181" s="533"/>
    </row>
    <row r="2182" spans="1:5">
      <c r="A2182" s="286"/>
      <c r="D2182" s="279"/>
      <c r="E2182" s="533"/>
    </row>
    <row r="2183" spans="1:5">
      <c r="A2183" s="286"/>
      <c r="D2183" s="279"/>
      <c r="E2183" s="533"/>
    </row>
    <row r="2184" spans="1:5">
      <c r="A2184" s="286"/>
      <c r="D2184" s="279"/>
      <c r="E2184" s="533"/>
    </row>
    <row r="2185" spans="1:5">
      <c r="A2185" s="286"/>
      <c r="D2185" s="279"/>
      <c r="E2185" s="533"/>
    </row>
    <row r="2186" spans="1:5">
      <c r="A2186" s="286"/>
      <c r="D2186" s="279"/>
      <c r="E2186" s="533"/>
    </row>
    <row r="2187" spans="1:5">
      <c r="A2187" s="286"/>
      <c r="D2187" s="279"/>
      <c r="E2187" s="533"/>
    </row>
    <row r="2188" spans="1:5">
      <c r="A2188" s="286"/>
      <c r="D2188" s="279"/>
      <c r="E2188" s="533"/>
    </row>
    <row r="2189" spans="1:5">
      <c r="A2189" s="286"/>
      <c r="D2189" s="279"/>
      <c r="E2189" s="533"/>
    </row>
    <row r="2190" spans="1:5">
      <c r="A2190" s="286"/>
      <c r="D2190" s="279"/>
      <c r="E2190" s="533"/>
    </row>
    <row r="2191" spans="1:5">
      <c r="A2191" s="286"/>
      <c r="D2191" s="279"/>
      <c r="E2191" s="533"/>
    </row>
    <row r="2192" spans="1:5">
      <c r="A2192" s="286"/>
      <c r="D2192" s="279"/>
      <c r="E2192" s="533"/>
    </row>
    <row r="2193" spans="1:5">
      <c r="A2193" s="286"/>
      <c r="D2193" s="279"/>
      <c r="E2193" s="533"/>
    </row>
    <row r="2194" spans="1:5">
      <c r="A2194" s="286"/>
      <c r="D2194" s="279"/>
      <c r="E2194" s="533"/>
    </row>
    <row r="2195" spans="1:5">
      <c r="A2195" s="286"/>
      <c r="D2195" s="279"/>
      <c r="E2195" s="533"/>
    </row>
    <row r="2196" spans="1:5">
      <c r="A2196" s="286"/>
      <c r="D2196" s="279"/>
      <c r="E2196" s="533"/>
    </row>
    <row r="2197" spans="1:5">
      <c r="A2197" s="286"/>
      <c r="D2197" s="279"/>
      <c r="E2197" s="533"/>
    </row>
    <row r="2198" spans="1:5">
      <c r="A2198" s="286"/>
      <c r="D2198" s="279"/>
      <c r="E2198" s="533"/>
    </row>
    <row r="2199" spans="1:5">
      <c r="A2199" s="286"/>
      <c r="D2199" s="279"/>
      <c r="E2199" s="533"/>
    </row>
    <row r="2200" spans="1:5">
      <c r="A2200" s="286"/>
      <c r="D2200" s="279"/>
      <c r="E2200" s="533"/>
    </row>
    <row r="2201" spans="1:5">
      <c r="A2201" s="286"/>
      <c r="D2201" s="279"/>
      <c r="E2201" s="533"/>
    </row>
    <row r="2202" spans="1:5">
      <c r="A2202" s="286"/>
      <c r="D2202" s="279"/>
      <c r="E2202" s="533"/>
    </row>
    <row r="2203" spans="1:5">
      <c r="A2203" s="286"/>
      <c r="D2203" s="279"/>
      <c r="E2203" s="533"/>
    </row>
    <row r="2204" spans="1:5">
      <c r="A2204" s="286"/>
      <c r="D2204" s="279"/>
      <c r="E2204" s="533"/>
    </row>
    <row r="2205" spans="1:5">
      <c r="A2205" s="286"/>
      <c r="D2205" s="279"/>
      <c r="E2205" s="533"/>
    </row>
    <row r="2206" spans="1:5">
      <c r="A2206" s="286"/>
      <c r="D2206" s="279"/>
      <c r="E2206" s="533"/>
    </row>
    <row r="2207" spans="1:5">
      <c r="A2207" s="286"/>
      <c r="D2207" s="279"/>
      <c r="E2207" s="533"/>
    </row>
    <row r="2208" spans="1:5">
      <c r="A2208" s="286"/>
      <c r="D2208" s="279"/>
      <c r="E2208" s="533"/>
    </row>
    <row r="2209" spans="1:5">
      <c r="A2209" s="286"/>
      <c r="D2209" s="279"/>
      <c r="E2209" s="533"/>
    </row>
    <row r="2210" spans="1:5">
      <c r="A2210" s="286"/>
      <c r="D2210" s="279"/>
      <c r="E2210" s="533"/>
    </row>
    <row r="2211" spans="1:5">
      <c r="A2211" s="286"/>
      <c r="D2211" s="279"/>
      <c r="E2211" s="533"/>
    </row>
    <row r="2212" spans="1:5">
      <c r="A2212" s="286"/>
      <c r="D2212" s="279"/>
      <c r="E2212" s="533"/>
    </row>
    <row r="2213" spans="1:5">
      <c r="A2213" s="286"/>
      <c r="D2213" s="279"/>
      <c r="E2213" s="533"/>
    </row>
    <row r="2214" spans="1:5">
      <c r="A2214" s="286"/>
      <c r="D2214" s="279"/>
      <c r="E2214" s="533"/>
    </row>
    <row r="2215" spans="1:5">
      <c r="A2215" s="286"/>
      <c r="D2215" s="279"/>
      <c r="E2215" s="533"/>
    </row>
    <row r="2216" spans="1:5">
      <c r="A2216" s="286"/>
      <c r="D2216" s="279"/>
      <c r="E2216" s="533"/>
    </row>
    <row r="2217" spans="1:5">
      <c r="A2217" s="286"/>
      <c r="D2217" s="279"/>
      <c r="E2217" s="533"/>
    </row>
    <row r="2218" spans="1:5">
      <c r="A2218" s="286"/>
      <c r="D2218" s="279"/>
      <c r="E2218" s="533"/>
    </row>
    <row r="2219" spans="1:5">
      <c r="A2219" s="286"/>
      <c r="D2219" s="279"/>
      <c r="E2219" s="533"/>
    </row>
    <row r="2220" spans="1:5">
      <c r="A2220" s="286"/>
      <c r="D2220" s="279"/>
      <c r="E2220" s="533"/>
    </row>
    <row r="2221" spans="1:5">
      <c r="A2221" s="286"/>
      <c r="D2221" s="279"/>
      <c r="E2221" s="533"/>
    </row>
    <row r="2222" spans="1:5">
      <c r="A2222" s="286"/>
      <c r="D2222" s="279"/>
      <c r="E2222" s="533"/>
    </row>
    <row r="2223" spans="1:5">
      <c r="A2223" s="286"/>
      <c r="D2223" s="279"/>
      <c r="E2223" s="533"/>
    </row>
    <row r="2224" spans="1:5">
      <c r="A2224" s="286"/>
      <c r="D2224" s="279"/>
      <c r="E2224" s="533"/>
    </row>
    <row r="2225" spans="1:5">
      <c r="A2225" s="286"/>
      <c r="D2225" s="279"/>
      <c r="E2225" s="533"/>
    </row>
    <row r="2226" spans="1:5">
      <c r="A2226" s="286"/>
      <c r="D2226" s="279"/>
      <c r="E2226" s="533"/>
    </row>
    <row r="2227" spans="1:5">
      <c r="A2227" s="286"/>
      <c r="D2227" s="279"/>
      <c r="E2227" s="533"/>
    </row>
    <row r="2228" spans="1:5">
      <c r="A2228" s="286"/>
      <c r="D2228" s="279"/>
      <c r="E2228" s="533"/>
    </row>
    <row r="2229" spans="1:5">
      <c r="A2229" s="286"/>
      <c r="D2229" s="279"/>
      <c r="E2229" s="533"/>
    </row>
    <row r="2230" spans="1:5">
      <c r="A2230" s="286"/>
      <c r="D2230" s="279"/>
      <c r="E2230" s="533"/>
    </row>
    <row r="2231" spans="1:5">
      <c r="A2231" s="286"/>
      <c r="D2231" s="279"/>
      <c r="E2231" s="533"/>
    </row>
    <row r="2232" spans="1:5">
      <c r="A2232" s="286"/>
      <c r="D2232" s="279"/>
      <c r="E2232" s="533"/>
    </row>
    <row r="2233" spans="1:5">
      <c r="A2233" s="286"/>
      <c r="D2233" s="279"/>
      <c r="E2233" s="533"/>
    </row>
    <row r="2234" spans="1:5">
      <c r="A2234" s="286"/>
      <c r="D2234" s="279"/>
      <c r="E2234" s="533"/>
    </row>
    <row r="2235" spans="1:5">
      <c r="A2235" s="286"/>
      <c r="D2235" s="279"/>
      <c r="E2235" s="533"/>
    </row>
    <row r="2236" spans="1:5">
      <c r="A2236" s="286"/>
      <c r="D2236" s="279"/>
      <c r="E2236" s="533"/>
    </row>
    <row r="2237" spans="1:5">
      <c r="A2237" s="286"/>
      <c r="D2237" s="279"/>
      <c r="E2237" s="533"/>
    </row>
    <row r="2238" spans="1:5">
      <c r="A2238" s="286"/>
      <c r="D2238" s="279"/>
      <c r="E2238" s="533"/>
    </row>
    <row r="2239" spans="1:5">
      <c r="A2239" s="286"/>
      <c r="D2239" s="279"/>
      <c r="E2239" s="533"/>
    </row>
    <row r="2240" spans="1:5">
      <c r="A2240" s="286"/>
      <c r="D2240" s="279"/>
      <c r="E2240" s="533"/>
    </row>
    <row r="2241" spans="1:5">
      <c r="A2241" s="286"/>
      <c r="D2241" s="279"/>
      <c r="E2241" s="533"/>
    </row>
    <row r="2242" spans="1:5">
      <c r="A2242" s="286"/>
      <c r="D2242" s="279"/>
      <c r="E2242" s="533"/>
    </row>
    <row r="2243" spans="1:5">
      <c r="A2243" s="286"/>
      <c r="D2243" s="279"/>
      <c r="E2243" s="533"/>
    </row>
    <row r="2244" spans="1:5">
      <c r="A2244" s="286"/>
      <c r="D2244" s="279"/>
      <c r="E2244" s="533"/>
    </row>
    <row r="2245" spans="1:5">
      <c r="A2245" s="286"/>
      <c r="D2245" s="279"/>
      <c r="E2245" s="533"/>
    </row>
    <row r="2246" spans="1:5">
      <c r="A2246" s="286"/>
      <c r="D2246" s="279"/>
      <c r="E2246" s="533"/>
    </row>
    <row r="2247" spans="1:5">
      <c r="A2247" s="286"/>
      <c r="D2247" s="279"/>
      <c r="E2247" s="533"/>
    </row>
    <row r="2248" spans="1:5">
      <c r="A2248" s="286"/>
      <c r="D2248" s="279"/>
      <c r="E2248" s="533"/>
    </row>
    <row r="2249" spans="1:5">
      <c r="A2249" s="286"/>
      <c r="D2249" s="279"/>
      <c r="E2249" s="533"/>
    </row>
    <row r="2250" spans="1:5">
      <c r="A2250" s="286"/>
      <c r="D2250" s="279"/>
      <c r="E2250" s="533"/>
    </row>
    <row r="2251" spans="1:5">
      <c r="A2251" s="286"/>
      <c r="D2251" s="279"/>
      <c r="E2251" s="533"/>
    </row>
    <row r="2252" spans="1:5">
      <c r="A2252" s="286"/>
      <c r="D2252" s="279"/>
      <c r="E2252" s="533"/>
    </row>
    <row r="2253" spans="1:5">
      <c r="A2253" s="286"/>
      <c r="D2253" s="279"/>
      <c r="E2253" s="533"/>
    </row>
    <row r="2254" spans="1:5">
      <c r="A2254" s="286"/>
      <c r="D2254" s="279"/>
      <c r="E2254" s="533"/>
    </row>
    <row r="2255" spans="1:5">
      <c r="A2255" s="286"/>
      <c r="D2255" s="279"/>
      <c r="E2255" s="533"/>
    </row>
    <row r="2256" spans="1:5">
      <c r="A2256" s="286"/>
      <c r="D2256" s="279"/>
      <c r="E2256" s="533"/>
    </row>
    <row r="2257" spans="1:5">
      <c r="A2257" s="286"/>
      <c r="D2257" s="279"/>
      <c r="E2257" s="533"/>
    </row>
    <row r="2258" spans="1:5">
      <c r="A2258" s="286"/>
      <c r="D2258" s="279"/>
      <c r="E2258" s="533"/>
    </row>
    <row r="2259" spans="1:5">
      <c r="A2259" s="286"/>
      <c r="D2259" s="279"/>
      <c r="E2259" s="533"/>
    </row>
    <row r="2260" spans="1:5">
      <c r="A2260" s="286"/>
      <c r="D2260" s="279"/>
      <c r="E2260" s="533"/>
    </row>
    <row r="2261" spans="1:5">
      <c r="A2261" s="286"/>
      <c r="D2261" s="279"/>
      <c r="E2261" s="533"/>
    </row>
    <row r="2262" spans="1:5">
      <c r="A2262" s="286"/>
      <c r="D2262" s="279"/>
      <c r="E2262" s="533"/>
    </row>
    <row r="2263" spans="1:5">
      <c r="A2263" s="286"/>
      <c r="D2263" s="279"/>
      <c r="E2263" s="533"/>
    </row>
    <row r="2264" spans="1:5">
      <c r="A2264" s="286"/>
      <c r="D2264" s="279"/>
      <c r="E2264" s="533"/>
    </row>
    <row r="2265" spans="1:5">
      <c r="A2265" s="286"/>
      <c r="D2265" s="279"/>
      <c r="E2265" s="533"/>
    </row>
    <row r="2266" spans="1:5">
      <c r="A2266" s="286"/>
      <c r="D2266" s="279"/>
      <c r="E2266" s="533"/>
    </row>
    <row r="2267" spans="1:5">
      <c r="A2267" s="286"/>
      <c r="D2267" s="279"/>
      <c r="E2267" s="533"/>
    </row>
    <row r="2268" spans="1:5">
      <c r="A2268" s="286"/>
      <c r="D2268" s="279"/>
      <c r="E2268" s="533"/>
    </row>
    <row r="2269" spans="1:5">
      <c r="A2269" s="286"/>
      <c r="D2269" s="279"/>
      <c r="E2269" s="533"/>
    </row>
    <row r="2270" spans="1:5">
      <c r="A2270" s="286"/>
      <c r="D2270" s="279"/>
      <c r="E2270" s="533"/>
    </row>
    <row r="2271" spans="1:5">
      <c r="A2271" s="286"/>
      <c r="D2271" s="279"/>
      <c r="E2271" s="533"/>
    </row>
    <row r="2272" spans="1:5">
      <c r="A2272" s="286"/>
      <c r="D2272" s="279"/>
      <c r="E2272" s="533"/>
    </row>
    <row r="2273" spans="1:5">
      <c r="A2273" s="286"/>
      <c r="D2273" s="279"/>
      <c r="E2273" s="533"/>
    </row>
    <row r="2274" spans="1:5">
      <c r="A2274" s="286"/>
      <c r="D2274" s="279"/>
      <c r="E2274" s="533"/>
    </row>
    <row r="2275" spans="1:5">
      <c r="A2275" s="286"/>
      <c r="D2275" s="279"/>
      <c r="E2275" s="533"/>
    </row>
    <row r="2276" spans="1:5">
      <c r="A2276" s="286"/>
      <c r="D2276" s="279"/>
      <c r="E2276" s="533"/>
    </row>
    <row r="2277" spans="1:5">
      <c r="A2277" s="286"/>
      <c r="D2277" s="279"/>
      <c r="E2277" s="533"/>
    </row>
    <row r="2278" spans="1:5">
      <c r="A2278" s="286"/>
      <c r="D2278" s="279"/>
      <c r="E2278" s="533"/>
    </row>
    <row r="2279" spans="1:5">
      <c r="A2279" s="286"/>
      <c r="D2279" s="279"/>
      <c r="E2279" s="533"/>
    </row>
    <row r="2280" spans="1:5">
      <c r="A2280" s="286"/>
      <c r="D2280" s="279"/>
      <c r="E2280" s="533"/>
    </row>
    <row r="2281" spans="1:5">
      <c r="A2281" s="286"/>
      <c r="D2281" s="279"/>
      <c r="E2281" s="533"/>
    </row>
    <row r="2282" spans="1:5">
      <c r="A2282" s="286"/>
      <c r="D2282" s="279"/>
      <c r="E2282" s="533"/>
    </row>
    <row r="2283" spans="1:5">
      <c r="A2283" s="286"/>
      <c r="D2283" s="279"/>
      <c r="E2283" s="533"/>
    </row>
    <row r="2284" spans="1:5">
      <c r="A2284" s="286"/>
      <c r="D2284" s="279"/>
      <c r="E2284" s="533"/>
    </row>
    <row r="2285" spans="1:5">
      <c r="A2285" s="286"/>
      <c r="D2285" s="279"/>
      <c r="E2285" s="533"/>
    </row>
    <row r="2286" spans="1:5">
      <c r="A2286" s="286"/>
      <c r="D2286" s="279"/>
      <c r="E2286" s="533"/>
    </row>
    <row r="2287" spans="1:5">
      <c r="A2287" s="286"/>
      <c r="D2287" s="279"/>
      <c r="E2287" s="533"/>
    </row>
    <row r="2288" spans="1:5">
      <c r="A2288" s="286"/>
      <c r="D2288" s="279"/>
      <c r="E2288" s="533"/>
    </row>
    <row r="2289" spans="1:5">
      <c r="A2289" s="286"/>
      <c r="D2289" s="279"/>
      <c r="E2289" s="533"/>
    </row>
    <row r="2290" spans="1:5">
      <c r="A2290" s="286"/>
      <c r="D2290" s="279"/>
      <c r="E2290" s="533"/>
    </row>
    <row r="2291" spans="1:5">
      <c r="A2291" s="286"/>
      <c r="D2291" s="279"/>
      <c r="E2291" s="533"/>
    </row>
    <row r="2292" spans="1:5">
      <c r="A2292" s="286"/>
      <c r="D2292" s="279"/>
      <c r="E2292" s="533"/>
    </row>
    <row r="2293" spans="1:5">
      <c r="A2293" s="286"/>
      <c r="D2293" s="279"/>
      <c r="E2293" s="533"/>
    </row>
    <row r="2294" spans="1:5">
      <c r="A2294" s="286"/>
      <c r="D2294" s="279"/>
      <c r="E2294" s="533"/>
    </row>
    <row r="2295" spans="1:5">
      <c r="A2295" s="286"/>
      <c r="D2295" s="279"/>
      <c r="E2295" s="533"/>
    </row>
    <row r="2296" spans="1:5">
      <c r="A2296" s="286"/>
      <c r="D2296" s="279"/>
      <c r="E2296" s="533"/>
    </row>
    <row r="2297" spans="1:5">
      <c r="A2297" s="286"/>
      <c r="D2297" s="279"/>
      <c r="E2297" s="533"/>
    </row>
    <row r="2298" spans="1:5">
      <c r="A2298" s="286"/>
      <c r="D2298" s="279"/>
      <c r="E2298" s="533"/>
    </row>
    <row r="2299" spans="1:5">
      <c r="A2299" s="286"/>
      <c r="D2299" s="279"/>
      <c r="E2299" s="533"/>
    </row>
    <row r="2300" spans="1:5">
      <c r="A2300" s="286"/>
      <c r="D2300" s="279"/>
      <c r="E2300" s="533"/>
    </row>
    <row r="2301" spans="1:5">
      <c r="A2301" s="286"/>
      <c r="D2301" s="279"/>
      <c r="E2301" s="533"/>
    </row>
    <row r="2302" spans="1:5">
      <c r="A2302" s="286"/>
      <c r="D2302" s="279"/>
      <c r="E2302" s="533"/>
    </row>
    <row r="2303" spans="1:5">
      <c r="A2303" s="286"/>
      <c r="D2303" s="279"/>
      <c r="E2303" s="533"/>
    </row>
    <row r="2304" spans="1:5">
      <c r="A2304" s="286"/>
      <c r="D2304" s="279"/>
      <c r="E2304" s="533"/>
    </row>
    <row r="2305" spans="1:5">
      <c r="A2305" s="286"/>
      <c r="D2305" s="279"/>
      <c r="E2305" s="533"/>
    </row>
    <row r="2306" spans="1:5">
      <c r="A2306" s="286"/>
      <c r="D2306" s="279"/>
      <c r="E2306" s="533"/>
    </row>
    <row r="2307" spans="1:5">
      <c r="A2307" s="286"/>
      <c r="D2307" s="279"/>
      <c r="E2307" s="533"/>
    </row>
    <row r="2308" spans="1:5">
      <c r="A2308" s="286"/>
      <c r="D2308" s="279"/>
      <c r="E2308" s="533"/>
    </row>
    <row r="2309" spans="1:5">
      <c r="A2309" s="286"/>
      <c r="D2309" s="279"/>
      <c r="E2309" s="533"/>
    </row>
    <row r="2310" spans="1:5">
      <c r="A2310" s="286"/>
      <c r="D2310" s="279"/>
      <c r="E2310" s="533"/>
    </row>
    <row r="2311" spans="1:5">
      <c r="A2311" s="286"/>
      <c r="D2311" s="279"/>
      <c r="E2311" s="533"/>
    </row>
    <row r="2312" spans="1:5">
      <c r="A2312" s="286"/>
      <c r="D2312" s="279"/>
      <c r="E2312" s="533"/>
    </row>
    <row r="2313" spans="1:5">
      <c r="A2313" s="286"/>
      <c r="D2313" s="279"/>
      <c r="E2313" s="533"/>
    </row>
    <row r="2314" spans="1:5">
      <c r="A2314" s="286"/>
      <c r="D2314" s="279"/>
      <c r="E2314" s="533"/>
    </row>
    <row r="2315" spans="1:5">
      <c r="A2315" s="286"/>
      <c r="D2315" s="279"/>
      <c r="E2315" s="533"/>
    </row>
    <row r="2316" spans="1:5">
      <c r="A2316" s="286"/>
      <c r="D2316" s="279"/>
      <c r="E2316" s="533"/>
    </row>
    <row r="2317" spans="1:5">
      <c r="A2317" s="286"/>
      <c r="D2317" s="279"/>
      <c r="E2317" s="533"/>
    </row>
    <row r="2318" spans="1:5">
      <c r="A2318" s="286"/>
      <c r="D2318" s="279"/>
      <c r="E2318" s="533"/>
    </row>
    <row r="2319" spans="1:5">
      <c r="A2319" s="286"/>
      <c r="D2319" s="279"/>
      <c r="E2319" s="533"/>
    </row>
    <row r="2320" spans="1:5">
      <c r="A2320" s="286"/>
      <c r="D2320" s="279"/>
      <c r="E2320" s="533"/>
    </row>
    <row r="2321" spans="1:5">
      <c r="A2321" s="286"/>
      <c r="D2321" s="279"/>
      <c r="E2321" s="533"/>
    </row>
    <row r="2322" spans="1:5">
      <c r="A2322" s="286"/>
      <c r="D2322" s="279"/>
      <c r="E2322" s="533"/>
    </row>
    <row r="2323" spans="1:5">
      <c r="A2323" s="286"/>
      <c r="D2323" s="279"/>
      <c r="E2323" s="533"/>
    </row>
    <row r="2324" spans="1:5">
      <c r="A2324" s="286"/>
      <c r="D2324" s="279"/>
      <c r="E2324" s="533"/>
    </row>
    <row r="2325" spans="1:5">
      <c r="A2325" s="286"/>
      <c r="D2325" s="279"/>
      <c r="E2325" s="533"/>
    </row>
    <row r="2326" spans="1:5">
      <c r="A2326" s="286"/>
      <c r="D2326" s="279"/>
      <c r="E2326" s="533"/>
    </row>
    <row r="2327" spans="1:5">
      <c r="A2327" s="286"/>
      <c r="D2327" s="279"/>
      <c r="E2327" s="533"/>
    </row>
    <row r="2328" spans="1:5">
      <c r="A2328" s="286"/>
      <c r="D2328" s="279"/>
      <c r="E2328" s="533"/>
    </row>
    <row r="2329" spans="1:5">
      <c r="A2329" s="286"/>
      <c r="D2329" s="279"/>
      <c r="E2329" s="533"/>
    </row>
    <row r="2330" spans="1:5">
      <c r="A2330" s="286"/>
      <c r="D2330" s="279"/>
      <c r="E2330" s="533"/>
    </row>
    <row r="2331" spans="1:5">
      <c r="A2331" s="286"/>
      <c r="D2331" s="279"/>
      <c r="E2331" s="533"/>
    </row>
    <row r="2332" spans="1:5">
      <c r="A2332" s="286"/>
      <c r="D2332" s="279"/>
      <c r="E2332" s="533"/>
    </row>
    <row r="2333" spans="1:5">
      <c r="A2333" s="286"/>
      <c r="D2333" s="279"/>
      <c r="E2333" s="533"/>
    </row>
    <row r="2334" spans="1:5">
      <c r="A2334" s="286"/>
      <c r="D2334" s="279"/>
      <c r="E2334" s="533"/>
    </row>
    <row r="2335" spans="1:5">
      <c r="A2335" s="286"/>
      <c r="D2335" s="279"/>
      <c r="E2335" s="533"/>
    </row>
    <row r="2336" spans="1:5">
      <c r="A2336" s="286"/>
      <c r="D2336" s="279"/>
      <c r="E2336" s="533"/>
    </row>
    <row r="2337" spans="1:5">
      <c r="A2337" s="286"/>
      <c r="D2337" s="279"/>
      <c r="E2337" s="533"/>
    </row>
    <row r="2338" spans="1:5">
      <c r="A2338" s="286"/>
      <c r="D2338" s="279"/>
      <c r="E2338" s="533"/>
    </row>
    <row r="2339" spans="1:5">
      <c r="A2339" s="286"/>
      <c r="D2339" s="279"/>
      <c r="E2339" s="533"/>
    </row>
    <row r="2340" spans="1:5">
      <c r="A2340" s="286"/>
      <c r="D2340" s="279"/>
      <c r="E2340" s="533"/>
    </row>
    <row r="2341" spans="1:5">
      <c r="A2341" s="286"/>
      <c r="D2341" s="279"/>
      <c r="E2341" s="533"/>
    </row>
    <row r="2342" spans="1:5">
      <c r="A2342" s="286"/>
      <c r="D2342" s="279"/>
      <c r="E2342" s="533"/>
    </row>
    <row r="2343" spans="1:5">
      <c r="A2343" s="286"/>
      <c r="D2343" s="279"/>
      <c r="E2343" s="533"/>
    </row>
    <row r="2344" spans="1:5">
      <c r="A2344" s="286"/>
      <c r="D2344" s="279"/>
      <c r="E2344" s="533"/>
    </row>
    <row r="2345" spans="1:5">
      <c r="A2345" s="286"/>
      <c r="D2345" s="279"/>
      <c r="E2345" s="533"/>
    </row>
    <row r="2346" spans="1:5">
      <c r="A2346" s="286"/>
      <c r="D2346" s="279"/>
      <c r="E2346" s="533"/>
    </row>
    <row r="2347" spans="1:5">
      <c r="A2347" s="286"/>
      <c r="D2347" s="279"/>
      <c r="E2347" s="533"/>
    </row>
    <row r="2348" spans="1:5">
      <c r="A2348" s="286"/>
      <c r="D2348" s="279"/>
      <c r="E2348" s="533"/>
    </row>
    <row r="2349" spans="1:5">
      <c r="A2349" s="286"/>
      <c r="D2349" s="279"/>
      <c r="E2349" s="533"/>
    </row>
    <row r="2350" spans="1:5">
      <c r="A2350" s="286"/>
      <c r="D2350" s="279"/>
      <c r="E2350" s="533"/>
    </row>
    <row r="2351" spans="1:5">
      <c r="A2351" s="286"/>
      <c r="D2351" s="279"/>
      <c r="E2351" s="533"/>
    </row>
    <row r="2352" spans="1:5">
      <c r="A2352" s="286"/>
      <c r="D2352" s="279"/>
      <c r="E2352" s="533"/>
    </row>
    <row r="2353" spans="1:5">
      <c r="A2353" s="286"/>
      <c r="D2353" s="279"/>
      <c r="E2353" s="533"/>
    </row>
    <row r="2354" spans="1:5">
      <c r="A2354" s="286"/>
      <c r="D2354" s="279"/>
      <c r="E2354" s="533"/>
    </row>
    <row r="2355" spans="1:5">
      <c r="A2355" s="286"/>
      <c r="D2355" s="279"/>
      <c r="E2355" s="533"/>
    </row>
    <row r="2356" spans="1:5">
      <c r="A2356" s="286"/>
      <c r="D2356" s="279"/>
      <c r="E2356" s="533"/>
    </row>
    <row r="2357" spans="1:5">
      <c r="A2357" s="286"/>
      <c r="D2357" s="279"/>
      <c r="E2357" s="533"/>
    </row>
    <row r="2358" spans="1:5">
      <c r="A2358" s="286"/>
      <c r="D2358" s="279"/>
      <c r="E2358" s="533"/>
    </row>
    <row r="2359" spans="1:5">
      <c r="A2359" s="286"/>
      <c r="D2359" s="279"/>
      <c r="E2359" s="533"/>
    </row>
    <row r="2360" spans="1:5">
      <c r="A2360" s="286"/>
      <c r="D2360" s="279"/>
      <c r="E2360" s="533"/>
    </row>
    <row r="2361" spans="1:5">
      <c r="A2361" s="286"/>
      <c r="D2361" s="279"/>
      <c r="E2361" s="533"/>
    </row>
    <row r="2362" spans="1:5">
      <c r="A2362" s="286"/>
      <c r="D2362" s="279"/>
      <c r="E2362" s="533"/>
    </row>
    <row r="2363" spans="1:5">
      <c r="A2363" s="286"/>
      <c r="D2363" s="279"/>
      <c r="E2363" s="533"/>
    </row>
    <row r="2364" spans="1:5">
      <c r="A2364" s="286"/>
      <c r="D2364" s="279"/>
      <c r="E2364" s="533"/>
    </row>
    <row r="2365" spans="1:5">
      <c r="A2365" s="286"/>
      <c r="D2365" s="279"/>
      <c r="E2365" s="533"/>
    </row>
    <row r="2366" spans="1:5">
      <c r="A2366" s="286"/>
      <c r="D2366" s="279"/>
      <c r="E2366" s="533"/>
    </row>
    <row r="2367" spans="1:5">
      <c r="A2367" s="286"/>
      <c r="D2367" s="279"/>
      <c r="E2367" s="533"/>
    </row>
    <row r="2368" spans="1:5">
      <c r="A2368" s="286"/>
      <c r="D2368" s="279"/>
      <c r="E2368" s="533"/>
    </row>
    <row r="2369" spans="1:5">
      <c r="A2369" s="286"/>
      <c r="D2369" s="279"/>
      <c r="E2369" s="533"/>
    </row>
    <row r="2370" spans="1:5">
      <c r="A2370" s="286"/>
      <c r="D2370" s="279"/>
      <c r="E2370" s="533"/>
    </row>
    <row r="2371" spans="1:5">
      <c r="A2371" s="286"/>
      <c r="D2371" s="279"/>
      <c r="E2371" s="533"/>
    </row>
    <row r="2372" spans="1:5">
      <c r="A2372" s="286"/>
      <c r="D2372" s="279"/>
      <c r="E2372" s="533"/>
    </row>
    <row r="2373" spans="1:5">
      <c r="A2373" s="286"/>
      <c r="D2373" s="279"/>
      <c r="E2373" s="533"/>
    </row>
    <row r="2374" spans="1:5">
      <c r="A2374" s="286"/>
      <c r="D2374" s="279"/>
      <c r="E2374" s="533"/>
    </row>
    <row r="2375" spans="1:5">
      <c r="A2375" s="286"/>
      <c r="D2375" s="279"/>
      <c r="E2375" s="533"/>
    </row>
    <row r="2376" spans="1:5">
      <c r="A2376" s="286"/>
      <c r="D2376" s="279"/>
      <c r="E2376" s="533"/>
    </row>
    <row r="2377" spans="1:5">
      <c r="A2377" s="286"/>
      <c r="D2377" s="279"/>
      <c r="E2377" s="533"/>
    </row>
    <row r="2378" spans="1:5">
      <c r="A2378" s="286"/>
      <c r="D2378" s="279"/>
      <c r="E2378" s="533"/>
    </row>
    <row r="2379" spans="1:5">
      <c r="A2379" s="286"/>
      <c r="D2379" s="279"/>
      <c r="E2379" s="533"/>
    </row>
    <row r="2380" spans="1:5">
      <c r="A2380" s="286"/>
      <c r="D2380" s="279"/>
      <c r="E2380" s="533"/>
    </row>
    <row r="2381" spans="1:5">
      <c r="A2381" s="286"/>
      <c r="D2381" s="279"/>
      <c r="E2381" s="533"/>
    </row>
    <row r="2382" spans="1:5">
      <c r="A2382" s="286"/>
      <c r="D2382" s="279"/>
      <c r="E2382" s="533"/>
    </row>
    <row r="2383" spans="1:5">
      <c r="A2383" s="286"/>
      <c r="D2383" s="279"/>
      <c r="E2383" s="533"/>
    </row>
    <row r="2384" spans="1:5">
      <c r="A2384" s="286"/>
      <c r="D2384" s="279"/>
      <c r="E2384" s="533"/>
    </row>
    <row r="2385" spans="1:5">
      <c r="A2385" s="286"/>
      <c r="D2385" s="279"/>
      <c r="E2385" s="533"/>
    </row>
    <row r="2386" spans="1:5">
      <c r="A2386" s="286"/>
      <c r="D2386" s="279"/>
      <c r="E2386" s="533"/>
    </row>
    <row r="2387" spans="1:5">
      <c r="A2387" s="286"/>
      <c r="D2387" s="279"/>
      <c r="E2387" s="533"/>
    </row>
    <row r="2388" spans="1:5">
      <c r="A2388" s="286"/>
      <c r="D2388" s="279"/>
      <c r="E2388" s="533"/>
    </row>
    <row r="2389" spans="1:5">
      <c r="A2389" s="286"/>
      <c r="D2389" s="279"/>
      <c r="E2389" s="533"/>
    </row>
    <row r="2390" spans="1:5">
      <c r="A2390" s="286"/>
      <c r="D2390" s="279"/>
      <c r="E2390" s="533"/>
    </row>
    <row r="2391" spans="1:5">
      <c r="A2391" s="286"/>
      <c r="D2391" s="279"/>
      <c r="E2391" s="533"/>
    </row>
    <row r="2392" spans="1:5">
      <c r="A2392" s="286"/>
      <c r="D2392" s="279"/>
      <c r="E2392" s="533"/>
    </row>
    <row r="2393" spans="1:5">
      <c r="A2393" s="286"/>
      <c r="D2393" s="279"/>
      <c r="E2393" s="533"/>
    </row>
    <row r="2394" spans="1:5">
      <c r="A2394" s="286"/>
      <c r="D2394" s="279"/>
      <c r="E2394" s="533"/>
    </row>
    <row r="2395" spans="1:5">
      <c r="A2395" s="286"/>
      <c r="D2395" s="279"/>
      <c r="E2395" s="533"/>
    </row>
    <row r="2396" spans="1:5">
      <c r="A2396" s="286"/>
      <c r="D2396" s="279"/>
      <c r="E2396" s="533"/>
    </row>
    <row r="2397" spans="1:5">
      <c r="A2397" s="286"/>
      <c r="D2397" s="279"/>
      <c r="E2397" s="533"/>
    </row>
    <row r="2398" spans="1:5">
      <c r="A2398" s="286"/>
      <c r="D2398" s="279"/>
      <c r="E2398" s="533"/>
    </row>
    <row r="2399" spans="1:5">
      <c r="A2399" s="286"/>
      <c r="D2399" s="279"/>
      <c r="E2399" s="533"/>
    </row>
    <row r="2400" spans="1:5">
      <c r="A2400" s="286"/>
      <c r="D2400" s="279"/>
      <c r="E2400" s="533"/>
    </row>
    <row r="2401" spans="1:5">
      <c r="A2401" s="286"/>
      <c r="D2401" s="279"/>
      <c r="E2401" s="533"/>
    </row>
    <row r="2402" spans="1:5">
      <c r="A2402" s="286"/>
      <c r="D2402" s="279"/>
      <c r="E2402" s="533"/>
    </row>
    <row r="2403" spans="1:5">
      <c r="A2403" s="286"/>
      <c r="D2403" s="279"/>
      <c r="E2403" s="533"/>
    </row>
    <row r="2404" spans="1:5">
      <c r="A2404" s="286"/>
      <c r="D2404" s="279"/>
      <c r="E2404" s="533"/>
    </row>
    <row r="2405" spans="1:5">
      <c r="A2405" s="286"/>
      <c r="D2405" s="279"/>
      <c r="E2405" s="533"/>
    </row>
    <row r="2406" spans="1:5">
      <c r="A2406" s="286"/>
      <c r="D2406" s="279"/>
      <c r="E2406" s="533"/>
    </row>
    <row r="2407" spans="1:5">
      <c r="A2407" s="286"/>
      <c r="D2407" s="279"/>
      <c r="E2407" s="533"/>
    </row>
    <row r="2408" spans="1:5">
      <c r="A2408" s="286"/>
      <c r="D2408" s="279"/>
      <c r="E2408" s="533"/>
    </row>
    <row r="2409" spans="1:5">
      <c r="A2409" s="286"/>
      <c r="D2409" s="279"/>
      <c r="E2409" s="533"/>
    </row>
    <row r="2410" spans="1:5">
      <c r="A2410" s="286"/>
      <c r="D2410" s="279"/>
      <c r="E2410" s="533"/>
    </row>
    <row r="2411" spans="1:5">
      <c r="A2411" s="286"/>
      <c r="D2411" s="279"/>
      <c r="E2411" s="533"/>
    </row>
    <row r="2412" spans="1:5">
      <c r="A2412" s="286"/>
      <c r="D2412" s="279"/>
      <c r="E2412" s="533"/>
    </row>
    <row r="2413" spans="1:5">
      <c r="A2413" s="286"/>
      <c r="D2413" s="279"/>
      <c r="E2413" s="533"/>
    </row>
    <row r="2414" spans="1:5">
      <c r="A2414" s="286"/>
      <c r="D2414" s="279"/>
      <c r="E2414" s="533"/>
    </row>
    <row r="2415" spans="1:5">
      <c r="A2415" s="286"/>
      <c r="D2415" s="279"/>
      <c r="E2415" s="533"/>
    </row>
    <row r="2416" spans="1:5">
      <c r="A2416" s="286"/>
      <c r="D2416" s="279"/>
      <c r="E2416" s="533"/>
    </row>
    <row r="2417" spans="1:5">
      <c r="A2417" s="286"/>
      <c r="D2417" s="279"/>
      <c r="E2417" s="533"/>
    </row>
    <row r="2418" spans="1:5">
      <c r="A2418" s="286"/>
      <c r="D2418" s="279"/>
      <c r="E2418" s="533"/>
    </row>
    <row r="2419" spans="1:5">
      <c r="A2419" s="286"/>
      <c r="D2419" s="279"/>
      <c r="E2419" s="533"/>
    </row>
    <row r="2420" spans="1:5">
      <c r="A2420" s="286"/>
      <c r="D2420" s="279"/>
      <c r="E2420" s="533"/>
    </row>
    <row r="2421" spans="1:5">
      <c r="A2421" s="286"/>
      <c r="D2421" s="279"/>
      <c r="E2421" s="533"/>
    </row>
    <row r="2422" spans="1:5">
      <c r="A2422" s="286"/>
      <c r="D2422" s="279"/>
      <c r="E2422" s="533"/>
    </row>
    <row r="2423" spans="1:5">
      <c r="A2423" s="286"/>
      <c r="D2423" s="279"/>
      <c r="E2423" s="533"/>
    </row>
    <row r="2424" spans="1:5">
      <c r="A2424" s="286"/>
      <c r="D2424" s="279"/>
      <c r="E2424" s="533"/>
    </row>
    <row r="2425" spans="1:5">
      <c r="A2425" s="286"/>
      <c r="D2425" s="279"/>
      <c r="E2425" s="533"/>
    </row>
    <row r="2426" spans="1:5">
      <c r="A2426" s="286"/>
      <c r="D2426" s="279"/>
      <c r="E2426" s="533"/>
    </row>
    <row r="2427" spans="1:5">
      <c r="A2427" s="286"/>
      <c r="D2427" s="279"/>
      <c r="E2427" s="533"/>
    </row>
    <row r="2428" spans="1:5">
      <c r="A2428" s="286"/>
      <c r="D2428" s="279"/>
      <c r="E2428" s="533"/>
    </row>
    <row r="2429" spans="1:5">
      <c r="A2429" s="286"/>
      <c r="D2429" s="279"/>
      <c r="E2429" s="533"/>
    </row>
    <row r="2430" spans="1:5">
      <c r="A2430" s="286"/>
      <c r="D2430" s="279"/>
      <c r="E2430" s="533"/>
    </row>
    <row r="2431" spans="1:5">
      <c r="A2431" s="286"/>
      <c r="D2431" s="279"/>
      <c r="E2431" s="533"/>
    </row>
    <row r="2432" spans="1:5">
      <c r="A2432" s="286"/>
      <c r="D2432" s="279"/>
      <c r="E2432" s="533"/>
    </row>
    <row r="2433" spans="1:5">
      <c r="A2433" s="286"/>
      <c r="D2433" s="279"/>
      <c r="E2433" s="533"/>
    </row>
    <row r="2434" spans="1:5">
      <c r="A2434" s="286"/>
      <c r="D2434" s="279"/>
      <c r="E2434" s="533"/>
    </row>
    <row r="2435" spans="1:5">
      <c r="A2435" s="286"/>
      <c r="D2435" s="279"/>
      <c r="E2435" s="533"/>
    </row>
    <row r="2436" spans="1:5">
      <c r="A2436" s="286"/>
      <c r="D2436" s="279"/>
      <c r="E2436" s="533"/>
    </row>
    <row r="2437" spans="1:5">
      <c r="A2437" s="286"/>
      <c r="D2437" s="279"/>
      <c r="E2437" s="533"/>
    </row>
    <row r="2438" spans="1:5">
      <c r="A2438" s="286"/>
      <c r="D2438" s="279"/>
      <c r="E2438" s="533"/>
    </row>
    <row r="2439" spans="1:5">
      <c r="A2439" s="286"/>
      <c r="D2439" s="279"/>
      <c r="E2439" s="533"/>
    </row>
    <row r="2440" spans="1:5">
      <c r="A2440" s="286"/>
      <c r="D2440" s="279"/>
      <c r="E2440" s="533"/>
    </row>
    <row r="2441" spans="1:5">
      <c r="A2441" s="286"/>
      <c r="D2441" s="279"/>
      <c r="E2441" s="533"/>
    </row>
    <row r="2442" spans="1:5">
      <c r="A2442" s="286"/>
      <c r="D2442" s="279"/>
      <c r="E2442" s="533"/>
    </row>
    <row r="2443" spans="1:5">
      <c r="A2443" s="286"/>
      <c r="D2443" s="279"/>
      <c r="E2443" s="533"/>
    </row>
    <row r="2444" spans="1:5">
      <c r="A2444" s="286"/>
      <c r="D2444" s="279"/>
      <c r="E2444" s="533"/>
    </row>
    <row r="2445" spans="1:5">
      <c r="A2445" s="286"/>
      <c r="D2445" s="279"/>
      <c r="E2445" s="533"/>
    </row>
    <row r="2446" spans="1:5">
      <c r="A2446" s="286"/>
      <c r="D2446" s="279"/>
      <c r="E2446" s="533"/>
    </row>
    <row r="2447" spans="1:5">
      <c r="A2447" s="286"/>
      <c r="D2447" s="279"/>
      <c r="E2447" s="533"/>
    </row>
    <row r="2448" spans="1:5">
      <c r="A2448" s="286"/>
      <c r="D2448" s="279"/>
      <c r="E2448" s="533"/>
    </row>
    <row r="2449" spans="1:5">
      <c r="A2449" s="286"/>
      <c r="D2449" s="279"/>
      <c r="E2449" s="533"/>
    </row>
    <row r="2450" spans="1:5">
      <c r="A2450" s="286"/>
      <c r="D2450" s="279"/>
      <c r="E2450" s="533"/>
    </row>
    <row r="2451" spans="1:5">
      <c r="A2451" s="286"/>
      <c r="D2451" s="279"/>
      <c r="E2451" s="533"/>
    </row>
    <row r="2452" spans="1:5">
      <c r="A2452" s="286"/>
      <c r="D2452" s="279"/>
      <c r="E2452" s="533"/>
    </row>
    <row r="2453" spans="1:5">
      <c r="A2453" s="286"/>
      <c r="D2453" s="279"/>
      <c r="E2453" s="533"/>
    </row>
    <row r="2454" spans="1:5">
      <c r="A2454" s="286"/>
      <c r="D2454" s="279"/>
      <c r="E2454" s="533"/>
    </row>
    <row r="2455" spans="1:5">
      <c r="A2455" s="286"/>
      <c r="D2455" s="279"/>
      <c r="E2455" s="533"/>
    </row>
    <row r="2456" spans="1:5">
      <c r="A2456" s="286"/>
      <c r="D2456" s="279"/>
      <c r="E2456" s="533"/>
    </row>
    <row r="2457" spans="1:5">
      <c r="A2457" s="286"/>
      <c r="D2457" s="279"/>
      <c r="E2457" s="533"/>
    </row>
    <row r="2458" spans="1:5">
      <c r="A2458" s="286"/>
      <c r="D2458" s="279"/>
      <c r="E2458" s="533"/>
    </row>
    <row r="2459" spans="1:5">
      <c r="A2459" s="286"/>
      <c r="D2459" s="279"/>
      <c r="E2459" s="533"/>
    </row>
    <row r="2460" spans="1:5">
      <c r="A2460" s="286"/>
      <c r="D2460" s="279"/>
      <c r="E2460" s="533"/>
    </row>
    <row r="2461" spans="1:5">
      <c r="A2461" s="286"/>
      <c r="D2461" s="279"/>
      <c r="E2461" s="533"/>
    </row>
    <row r="2462" spans="1:5">
      <c r="A2462" s="286"/>
      <c r="D2462" s="279"/>
      <c r="E2462" s="533"/>
    </row>
    <row r="2463" spans="1:5">
      <c r="A2463" s="286"/>
      <c r="D2463" s="279"/>
      <c r="E2463" s="533"/>
    </row>
    <row r="2464" spans="1:5">
      <c r="A2464" s="286"/>
      <c r="D2464" s="279"/>
      <c r="E2464" s="533"/>
    </row>
    <row r="2465" spans="1:5">
      <c r="A2465" s="286"/>
      <c r="D2465" s="279"/>
      <c r="E2465" s="533"/>
    </row>
    <row r="2466" spans="1:5">
      <c r="A2466" s="286"/>
      <c r="D2466" s="279"/>
      <c r="E2466" s="533"/>
    </row>
    <row r="2467" spans="1:5">
      <c r="A2467" s="286"/>
      <c r="D2467" s="279"/>
      <c r="E2467" s="533"/>
    </row>
    <row r="2468" spans="1:5">
      <c r="A2468" s="286"/>
      <c r="D2468" s="279"/>
      <c r="E2468" s="533"/>
    </row>
    <row r="2469" spans="1:5">
      <c r="A2469" s="286"/>
      <c r="D2469" s="279"/>
      <c r="E2469" s="533"/>
    </row>
    <row r="2470" spans="1:5">
      <c r="A2470" s="286"/>
      <c r="D2470" s="279"/>
      <c r="E2470" s="533"/>
    </row>
    <row r="2471" spans="1:5">
      <c r="A2471" s="286"/>
      <c r="D2471" s="279"/>
      <c r="E2471" s="533"/>
    </row>
    <row r="2472" spans="1:5">
      <c r="A2472" s="286"/>
      <c r="D2472" s="279"/>
      <c r="E2472" s="533"/>
    </row>
    <row r="2473" spans="1:5">
      <c r="A2473" s="286"/>
      <c r="D2473" s="279"/>
      <c r="E2473" s="533"/>
    </row>
    <row r="2474" spans="1:5">
      <c r="A2474" s="286"/>
      <c r="D2474" s="279"/>
      <c r="E2474" s="533"/>
    </row>
    <row r="2475" spans="1:5">
      <c r="A2475" s="286"/>
      <c r="D2475" s="279"/>
      <c r="E2475" s="533"/>
    </row>
    <row r="2476" spans="1:5">
      <c r="A2476" s="286"/>
      <c r="D2476" s="279"/>
      <c r="E2476" s="533"/>
    </row>
    <row r="2477" spans="1:5">
      <c r="A2477" s="286"/>
      <c r="D2477" s="279"/>
      <c r="E2477" s="533"/>
    </row>
    <row r="2478" spans="1:5">
      <c r="A2478" s="286"/>
      <c r="D2478" s="279"/>
      <c r="E2478" s="533"/>
    </row>
    <row r="2479" spans="1:5">
      <c r="A2479" s="286"/>
      <c r="D2479" s="279"/>
      <c r="E2479" s="533"/>
    </row>
    <row r="2480" spans="1:5">
      <c r="A2480" s="286"/>
      <c r="D2480" s="279"/>
      <c r="E2480" s="533"/>
    </row>
    <row r="2481" spans="1:5">
      <c r="A2481" s="286"/>
      <c r="D2481" s="279"/>
      <c r="E2481" s="533"/>
    </row>
    <row r="2482" spans="1:5">
      <c r="A2482" s="286"/>
      <c r="D2482" s="279"/>
      <c r="E2482" s="533"/>
    </row>
    <row r="2483" spans="1:5">
      <c r="A2483" s="286"/>
      <c r="D2483" s="279"/>
      <c r="E2483" s="533"/>
    </row>
    <row r="2484" spans="1:5">
      <c r="A2484" s="286"/>
      <c r="D2484" s="279"/>
      <c r="E2484" s="533"/>
    </row>
    <row r="2485" spans="1:5">
      <c r="A2485" s="286"/>
      <c r="D2485" s="279"/>
      <c r="E2485" s="533"/>
    </row>
    <row r="2486" spans="1:5">
      <c r="A2486" s="286"/>
      <c r="D2486" s="279"/>
      <c r="E2486" s="533"/>
    </row>
    <row r="2487" spans="1:5">
      <c r="A2487" s="286"/>
      <c r="D2487" s="279"/>
      <c r="E2487" s="533"/>
    </row>
    <row r="2488" spans="1:5">
      <c r="A2488" s="286"/>
      <c r="D2488" s="279"/>
      <c r="E2488" s="533"/>
    </row>
    <row r="2489" spans="1:5">
      <c r="A2489" s="286"/>
      <c r="D2489" s="279"/>
      <c r="E2489" s="533"/>
    </row>
    <row r="2490" spans="1:5">
      <c r="A2490" s="286"/>
      <c r="D2490" s="279"/>
      <c r="E2490" s="533"/>
    </row>
    <row r="2491" spans="1:5">
      <c r="A2491" s="286"/>
      <c r="D2491" s="279"/>
      <c r="E2491" s="533"/>
    </row>
    <row r="2492" spans="1:5">
      <c r="A2492" s="286"/>
      <c r="D2492" s="279"/>
      <c r="E2492" s="533"/>
    </row>
    <row r="2493" spans="1:5">
      <c r="A2493" s="286"/>
      <c r="D2493" s="279"/>
      <c r="E2493" s="533"/>
    </row>
    <row r="2494" spans="1:5">
      <c r="A2494" s="286"/>
      <c r="D2494" s="279"/>
      <c r="E2494" s="533"/>
    </row>
    <row r="2495" spans="1:5">
      <c r="A2495" s="286"/>
      <c r="D2495" s="279"/>
      <c r="E2495" s="533"/>
    </row>
    <row r="2496" spans="1:5">
      <c r="A2496" s="286"/>
      <c r="D2496" s="279"/>
      <c r="E2496" s="533"/>
    </row>
    <row r="2497" spans="1:5">
      <c r="A2497" s="286"/>
      <c r="D2497" s="279"/>
      <c r="E2497" s="533"/>
    </row>
    <row r="2498" spans="1:5">
      <c r="A2498" s="286"/>
      <c r="D2498" s="279"/>
      <c r="E2498" s="533"/>
    </row>
    <row r="2499" spans="1:5">
      <c r="A2499" s="286"/>
      <c r="D2499" s="279"/>
      <c r="E2499" s="533"/>
    </row>
    <row r="2500" spans="1:5">
      <c r="A2500" s="286"/>
      <c r="D2500" s="279"/>
      <c r="E2500" s="533"/>
    </row>
    <row r="2501" spans="1:5">
      <c r="A2501" s="286"/>
      <c r="D2501" s="279"/>
      <c r="E2501" s="533"/>
    </row>
    <row r="2502" spans="1:5">
      <c r="A2502" s="286"/>
      <c r="D2502" s="279"/>
      <c r="E2502" s="533"/>
    </row>
    <row r="2503" spans="1:5">
      <c r="A2503" s="286"/>
      <c r="D2503" s="279"/>
      <c r="E2503" s="533"/>
    </row>
    <row r="2504" spans="1:5">
      <c r="A2504" s="286"/>
      <c r="D2504" s="279"/>
      <c r="E2504" s="533"/>
    </row>
    <row r="2505" spans="1:5">
      <c r="A2505" s="286"/>
      <c r="D2505" s="279"/>
      <c r="E2505" s="533"/>
    </row>
    <row r="2506" spans="1:5">
      <c r="A2506" s="286"/>
      <c r="D2506" s="279"/>
      <c r="E2506" s="533"/>
    </row>
    <row r="2507" spans="1:5">
      <c r="A2507" s="286"/>
      <c r="D2507" s="279"/>
      <c r="E2507" s="533"/>
    </row>
    <row r="2508" spans="1:5">
      <c r="A2508" s="286"/>
      <c r="D2508" s="279"/>
      <c r="E2508" s="533"/>
    </row>
    <row r="2509" spans="1:5">
      <c r="A2509" s="286"/>
      <c r="D2509" s="279"/>
      <c r="E2509" s="533"/>
    </row>
    <row r="2510" spans="1:5">
      <c r="A2510" s="286"/>
      <c r="D2510" s="279"/>
      <c r="E2510" s="533"/>
    </row>
    <row r="2511" spans="1:5">
      <c r="A2511" s="286"/>
      <c r="D2511" s="279"/>
      <c r="E2511" s="533"/>
    </row>
    <row r="2512" spans="1:5">
      <c r="A2512" s="286"/>
      <c r="D2512" s="279"/>
      <c r="E2512" s="533"/>
    </row>
    <row r="2513" spans="1:5">
      <c r="A2513" s="286"/>
      <c r="D2513" s="279"/>
      <c r="E2513" s="533"/>
    </row>
    <row r="2514" spans="1:5">
      <c r="A2514" s="286"/>
      <c r="D2514" s="279"/>
      <c r="E2514" s="533"/>
    </row>
    <row r="2515" spans="1:5">
      <c r="A2515" s="286"/>
      <c r="D2515" s="279"/>
      <c r="E2515" s="533"/>
    </row>
    <row r="2516" spans="1:5">
      <c r="A2516" s="286"/>
      <c r="D2516" s="279"/>
      <c r="E2516" s="533"/>
    </row>
    <row r="2517" spans="1:5">
      <c r="A2517" s="286"/>
      <c r="D2517" s="279"/>
      <c r="E2517" s="533"/>
    </row>
    <row r="2518" spans="1:5">
      <c r="A2518" s="286"/>
      <c r="D2518" s="279"/>
      <c r="E2518" s="533"/>
    </row>
    <row r="2519" spans="1:5">
      <c r="A2519" s="286"/>
      <c r="D2519" s="279"/>
      <c r="E2519" s="533"/>
    </row>
    <row r="2520" spans="1:5">
      <c r="A2520" s="286"/>
      <c r="D2520" s="279"/>
      <c r="E2520" s="533"/>
    </row>
    <row r="2521" spans="1:5">
      <c r="A2521" s="286"/>
      <c r="D2521" s="279"/>
      <c r="E2521" s="533"/>
    </row>
    <row r="2522" spans="1:5">
      <c r="A2522" s="286"/>
      <c r="D2522" s="279"/>
      <c r="E2522" s="533"/>
    </row>
    <row r="2523" spans="1:5">
      <c r="A2523" s="286"/>
      <c r="D2523" s="279"/>
      <c r="E2523" s="533"/>
    </row>
    <row r="2524" spans="1:5">
      <c r="A2524" s="286"/>
      <c r="D2524" s="279"/>
      <c r="E2524" s="533"/>
    </row>
    <row r="2525" spans="1:5">
      <c r="A2525" s="286"/>
      <c r="D2525" s="279"/>
      <c r="E2525" s="533"/>
    </row>
    <row r="2526" spans="1:5">
      <c r="A2526" s="286"/>
      <c r="D2526" s="279"/>
      <c r="E2526" s="533"/>
    </row>
    <row r="2527" spans="1:5">
      <c r="A2527" s="286"/>
      <c r="D2527" s="279"/>
      <c r="E2527" s="533"/>
    </row>
    <row r="2528" spans="1:5">
      <c r="A2528" s="286"/>
      <c r="D2528" s="279"/>
      <c r="E2528" s="533"/>
    </row>
    <row r="2529" spans="1:5">
      <c r="A2529" s="286"/>
      <c r="D2529" s="279"/>
      <c r="E2529" s="533"/>
    </row>
    <row r="2530" spans="1:5">
      <c r="A2530" s="286"/>
      <c r="D2530" s="279"/>
      <c r="E2530" s="533"/>
    </row>
    <row r="2531" spans="1:5">
      <c r="A2531" s="286"/>
      <c r="D2531" s="279"/>
      <c r="E2531" s="533"/>
    </row>
    <row r="2532" spans="1:5">
      <c r="A2532" s="286"/>
      <c r="D2532" s="279"/>
      <c r="E2532" s="533"/>
    </row>
    <row r="2533" spans="1:5">
      <c r="A2533" s="286"/>
      <c r="D2533" s="279"/>
      <c r="E2533" s="533"/>
    </row>
    <row r="2534" spans="1:5">
      <c r="A2534" s="286"/>
      <c r="D2534" s="279"/>
      <c r="E2534" s="533"/>
    </row>
    <row r="2535" spans="1:5">
      <c r="A2535" s="286"/>
      <c r="D2535" s="279"/>
      <c r="E2535" s="533"/>
    </row>
    <row r="2536" spans="1:5">
      <c r="A2536" s="286"/>
      <c r="D2536" s="279"/>
      <c r="E2536" s="533"/>
    </row>
    <row r="2537" spans="1:5">
      <c r="A2537" s="286"/>
      <c r="D2537" s="279"/>
      <c r="E2537" s="533"/>
    </row>
    <row r="2538" spans="1:5">
      <c r="A2538" s="286"/>
      <c r="D2538" s="279"/>
      <c r="E2538" s="533"/>
    </row>
    <row r="2539" spans="1:5">
      <c r="A2539" s="286"/>
      <c r="D2539" s="279"/>
      <c r="E2539" s="533"/>
    </row>
    <row r="2540" spans="1:5">
      <c r="A2540" s="286"/>
      <c r="D2540" s="279"/>
      <c r="E2540" s="533"/>
    </row>
    <row r="2541" spans="1:5">
      <c r="A2541" s="286"/>
      <c r="D2541" s="279"/>
      <c r="E2541" s="533"/>
    </row>
    <row r="2542" spans="1:5">
      <c r="A2542" s="286"/>
      <c r="D2542" s="279"/>
      <c r="E2542" s="533"/>
    </row>
    <row r="2543" spans="1:5">
      <c r="A2543" s="286"/>
      <c r="D2543" s="279"/>
      <c r="E2543" s="533"/>
    </row>
    <row r="2544" spans="1:5">
      <c r="A2544" s="286"/>
      <c r="D2544" s="279"/>
      <c r="E2544" s="533"/>
    </row>
    <row r="2545" spans="1:5">
      <c r="A2545" s="286"/>
      <c r="D2545" s="279"/>
      <c r="E2545" s="533"/>
    </row>
    <row r="2546" spans="1:5">
      <c r="A2546" s="286"/>
      <c r="D2546" s="279"/>
      <c r="E2546" s="533"/>
    </row>
    <row r="2547" spans="1:5">
      <c r="A2547" s="286"/>
      <c r="D2547" s="279"/>
      <c r="E2547" s="533"/>
    </row>
    <row r="2548" spans="1:5">
      <c r="A2548" s="286"/>
      <c r="D2548" s="279"/>
      <c r="E2548" s="533"/>
    </row>
    <row r="2549" spans="1:5">
      <c r="A2549" s="286"/>
      <c r="D2549" s="279"/>
      <c r="E2549" s="533"/>
    </row>
    <row r="2550" spans="1:5">
      <c r="A2550" s="286"/>
      <c r="D2550" s="279"/>
      <c r="E2550" s="533"/>
    </row>
    <row r="2551" spans="1:5">
      <c r="A2551" s="286"/>
      <c r="D2551" s="279"/>
      <c r="E2551" s="533"/>
    </row>
    <row r="2552" spans="1:5">
      <c r="A2552" s="286"/>
      <c r="D2552" s="279"/>
      <c r="E2552" s="533"/>
    </row>
    <row r="2553" spans="1:5">
      <c r="A2553" s="286"/>
      <c r="D2553" s="279"/>
      <c r="E2553" s="533"/>
    </row>
    <row r="2554" spans="1:5">
      <c r="A2554" s="286"/>
      <c r="D2554" s="279"/>
      <c r="E2554" s="533"/>
    </row>
    <row r="2555" spans="1:5">
      <c r="A2555" s="286"/>
      <c r="D2555" s="279"/>
      <c r="E2555" s="533"/>
    </row>
    <row r="2556" spans="1:5">
      <c r="A2556" s="286"/>
      <c r="D2556" s="279"/>
      <c r="E2556" s="533"/>
    </row>
    <row r="2557" spans="1:5">
      <c r="A2557" s="286"/>
      <c r="D2557" s="279"/>
      <c r="E2557" s="533"/>
    </row>
    <row r="2558" spans="1:5">
      <c r="A2558" s="286"/>
      <c r="D2558" s="279"/>
      <c r="E2558" s="533"/>
    </row>
    <row r="2559" spans="1:5">
      <c r="A2559" s="286"/>
      <c r="D2559" s="279"/>
      <c r="E2559" s="533"/>
    </row>
    <row r="2560" spans="1:5">
      <c r="A2560" s="286"/>
      <c r="D2560" s="279"/>
      <c r="E2560" s="533"/>
    </row>
    <row r="2561" spans="1:5">
      <c r="A2561" s="286"/>
      <c r="D2561" s="279"/>
      <c r="E2561" s="533"/>
    </row>
    <row r="2562" spans="1:5">
      <c r="A2562" s="286"/>
      <c r="D2562" s="279"/>
      <c r="E2562" s="533"/>
    </row>
    <row r="2563" spans="1:5">
      <c r="A2563" s="286"/>
      <c r="D2563" s="279"/>
      <c r="E2563" s="533"/>
    </row>
    <row r="2564" spans="1:5">
      <c r="A2564" s="286"/>
      <c r="D2564" s="279"/>
      <c r="E2564" s="533"/>
    </row>
    <row r="2565" spans="1:5">
      <c r="A2565" s="286"/>
      <c r="D2565" s="279"/>
      <c r="E2565" s="533"/>
    </row>
    <row r="2566" spans="1:5">
      <c r="A2566" s="286"/>
      <c r="D2566" s="279"/>
      <c r="E2566" s="533"/>
    </row>
    <row r="2567" spans="1:5">
      <c r="A2567" s="286"/>
      <c r="D2567" s="279"/>
      <c r="E2567" s="533"/>
    </row>
    <row r="2568" spans="1:5">
      <c r="A2568" s="286"/>
      <c r="D2568" s="279"/>
      <c r="E2568" s="533"/>
    </row>
    <row r="2569" spans="1:5">
      <c r="A2569" s="286"/>
      <c r="D2569" s="279"/>
      <c r="E2569" s="533"/>
    </row>
    <row r="2570" spans="1:5">
      <c r="A2570" s="286"/>
      <c r="D2570" s="279"/>
      <c r="E2570" s="533"/>
    </row>
    <row r="2571" spans="1:5">
      <c r="A2571" s="286"/>
      <c r="D2571" s="279"/>
      <c r="E2571" s="533"/>
    </row>
    <row r="2572" spans="1:5">
      <c r="A2572" s="286"/>
      <c r="D2572" s="279"/>
      <c r="E2572" s="533"/>
    </row>
    <row r="2573" spans="1:5">
      <c r="A2573" s="286"/>
      <c r="D2573" s="279"/>
      <c r="E2573" s="533"/>
    </row>
    <row r="2574" spans="1:5">
      <c r="A2574" s="286"/>
      <c r="D2574" s="279"/>
      <c r="E2574" s="533"/>
    </row>
    <row r="2575" spans="1:5">
      <c r="A2575" s="286"/>
      <c r="D2575" s="279"/>
      <c r="E2575" s="533"/>
    </row>
    <row r="2576" spans="1:5">
      <c r="A2576" s="286"/>
      <c r="D2576" s="279"/>
      <c r="E2576" s="533"/>
    </row>
    <row r="2577" spans="1:5">
      <c r="A2577" s="286"/>
      <c r="D2577" s="279"/>
      <c r="E2577" s="533"/>
    </row>
    <row r="2578" spans="1:5">
      <c r="A2578" s="286"/>
      <c r="D2578" s="279"/>
      <c r="E2578" s="533"/>
    </row>
    <row r="2579" spans="1:5">
      <c r="A2579" s="286"/>
      <c r="D2579" s="279"/>
      <c r="E2579" s="533"/>
    </row>
    <row r="2580" spans="1:5">
      <c r="A2580" s="286"/>
      <c r="D2580" s="279"/>
      <c r="E2580" s="533"/>
    </row>
    <row r="2581" spans="1:5">
      <c r="A2581" s="286"/>
      <c r="D2581" s="279"/>
      <c r="E2581" s="533"/>
    </row>
    <row r="2582" spans="1:5">
      <c r="A2582" s="286"/>
      <c r="D2582" s="279"/>
      <c r="E2582" s="533"/>
    </row>
    <row r="2583" spans="1:5">
      <c r="A2583" s="286"/>
      <c r="D2583" s="279"/>
      <c r="E2583" s="533"/>
    </row>
    <row r="2584" spans="1:5">
      <c r="A2584" s="286"/>
      <c r="D2584" s="279"/>
      <c r="E2584" s="533"/>
    </row>
    <row r="2585" spans="1:5">
      <c r="A2585" s="286"/>
      <c r="D2585" s="279"/>
      <c r="E2585" s="533"/>
    </row>
    <row r="2586" spans="1:5">
      <c r="A2586" s="286"/>
      <c r="D2586" s="279"/>
      <c r="E2586" s="533"/>
    </row>
    <row r="2587" spans="1:5">
      <c r="A2587" s="286"/>
      <c r="D2587" s="279"/>
      <c r="E2587" s="533"/>
    </row>
    <row r="2588" spans="1:5">
      <c r="A2588" s="286"/>
      <c r="D2588" s="279"/>
      <c r="E2588" s="533"/>
    </row>
    <row r="2589" spans="1:5">
      <c r="A2589" s="286"/>
      <c r="D2589" s="279"/>
      <c r="E2589" s="533"/>
    </row>
    <row r="2590" spans="1:5">
      <c r="A2590" s="286"/>
      <c r="D2590" s="279"/>
      <c r="E2590" s="533"/>
    </row>
    <row r="2591" spans="1:5">
      <c r="A2591" s="286"/>
      <c r="D2591" s="279"/>
      <c r="E2591" s="533"/>
    </row>
    <row r="2592" spans="1:5">
      <c r="A2592" s="286"/>
      <c r="D2592" s="279"/>
      <c r="E2592" s="533"/>
    </row>
    <row r="2593" spans="1:5">
      <c r="A2593" s="286"/>
      <c r="D2593" s="279"/>
      <c r="E2593" s="533"/>
    </row>
    <row r="2594" spans="1:5">
      <c r="A2594" s="286"/>
      <c r="D2594" s="279"/>
      <c r="E2594" s="533"/>
    </row>
    <row r="2595" spans="1:5">
      <c r="A2595" s="286"/>
      <c r="D2595" s="279"/>
      <c r="E2595" s="533"/>
    </row>
  </sheetData>
  <sheetProtection algorithmName="SHA-256" hashValue="xUsF+T46xGH9DyuBrx97plFyBgR02hhkPwTxeqCssSI=" saltValue="TuNftXNlCjq+tmW39oEWGQ==" spinCount="100000" sheet="1" objects="1" scenarios="1"/>
  <phoneticPr fontId="45" type="noConversion"/>
  <dataValidations count="1">
    <dataValidation type="list" allowBlank="1" showInputMessage="1" showErrorMessage="1" sqref="A3" xr:uid="{00000000-0002-0000-0200-000000000000}">
      <formula1>"1,2,3,4,5"</formula1>
    </dataValidation>
  </dataValidations>
  <hyperlinks>
    <hyperlink ref="B20" r:id="rId1" xr:uid="{1A2B3D8E-A525-4D9C-9AC8-1E57087216C4}"/>
    <hyperlink ref="C20" r:id="rId2" xr:uid="{269B4F57-6D03-4DC2-A2A3-4E97F14718AF}"/>
    <hyperlink ref="D20" r:id="rId3" xr:uid="{35E59BD3-A665-4059-8B6D-27EDD6CE4BE2}"/>
    <hyperlink ref="E20" r:id="rId4" xr:uid="{89D3C3AD-C729-41B9-BEC1-C30C98ED630A}"/>
    <hyperlink ref="B31" r:id="rId5" xr:uid="{B7538C3F-DFC6-4D22-B08D-B7FE071091AB}"/>
    <hyperlink ref="C31" r:id="rId6" xr:uid="{D10FE7A9-C5E1-4D03-9B7B-CFBBA55ED44B}"/>
    <hyperlink ref="D31" r:id="rId7" xr:uid="{55F8F979-EB4F-4781-AE87-13C30FDE7213}"/>
    <hyperlink ref="E31" r:id="rId8" xr:uid="{965B6BDF-8F6C-4C94-A89E-E46750C4EAFB}"/>
  </hyperlinks>
  <pageMargins left="0.7" right="0.7" top="0.75" bottom="0.75" header="0.3" footer="0.3"/>
  <pageSetup paperSize="9" scale="10" orientation="landscape"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0070C0"/>
    <pageSetUpPr fitToPage="1"/>
  </sheetPr>
  <dimension ref="A1:K45"/>
  <sheetViews>
    <sheetView zoomScaleNormal="100" zoomScalePageLayoutView="80" workbookViewId="0">
      <selection activeCell="C5" sqref="C5"/>
    </sheetView>
  </sheetViews>
  <sheetFormatPr defaultColWidth="11" defaultRowHeight="15.6"/>
  <cols>
    <col min="1" max="1" width="4.69921875" style="6" customWidth="1"/>
    <col min="2" max="2" width="82.19921875" style="8" customWidth="1"/>
    <col min="3" max="3" width="5.19921875" style="30" customWidth="1"/>
    <col min="4" max="4" width="3.69921875" customWidth="1"/>
    <col min="5" max="5" width="3.69921875" hidden="1" customWidth="1"/>
    <col min="6" max="6" width="5.19921875" style="30" hidden="1" customWidth="1"/>
    <col min="7" max="7" width="5.19921875" customWidth="1"/>
    <col min="8" max="8" width="37.69921875" style="71" customWidth="1"/>
    <col min="9" max="9" width="9.69921875" customWidth="1"/>
  </cols>
  <sheetData>
    <row r="1" spans="1:9">
      <c r="A1" s="10"/>
      <c r="B1" s="43" t="str">
        <f>Language!A1631</f>
        <v>SAFETY</v>
      </c>
      <c r="C1" s="51" t="str">
        <f>IF(COUNT(G4:G96)=0,"???",AVERAGE(G4:G96))</f>
        <v>???</v>
      </c>
      <c r="F1" s="28"/>
      <c r="H1" s="307" t="str">
        <f>'Facility 1'!H1</f>
        <v>Comments</v>
      </c>
    </row>
    <row r="2" spans="1:9">
      <c r="A2" s="10"/>
      <c r="B2" s="202" t="str">
        <f>Language!A1632</f>
        <v xml:space="preserve">To be completed if there is no record of another safety audit in the past 12 months. This is not intended to be a comprehensive safety audit. </v>
      </c>
      <c r="C2" s="33"/>
      <c r="D2" s="28"/>
      <c r="E2" s="28"/>
      <c r="F2" s="28"/>
      <c r="H2" s="197"/>
    </row>
    <row r="3" spans="1:9">
      <c r="A3" s="160"/>
      <c r="B3" s="14" t="str">
        <f>Language!A1633</f>
        <v>BIOSAFETY EQUIPMENT</v>
      </c>
      <c r="C3" s="44" t="str">
        <f>IF(COUNTBLANK(C5:C16)=12,"???",IF(COUNT(G5:G16)=0,"NA",AVERAGE(G5:G16)))</f>
        <v>???</v>
      </c>
      <c r="F3" s="28"/>
      <c r="H3" s="193"/>
    </row>
    <row r="4" spans="1:9">
      <c r="A4" s="10"/>
      <c r="B4" s="8" t="str">
        <f>Language!A1634</f>
        <v>Is standard safety equipment available and in use in the laboratory?</v>
      </c>
      <c r="C4" s="31"/>
      <c r="D4" s="2"/>
      <c r="E4" s="2"/>
      <c r="F4" s="29"/>
      <c r="G4" s="3"/>
      <c r="H4" s="165"/>
    </row>
    <row r="5" spans="1:9">
      <c r="A5" s="10" t="s">
        <v>6512</v>
      </c>
      <c r="B5" s="478" t="str">
        <f>Language!A1635</f>
        <v>Biosafety cabinets (Class IIA)</v>
      </c>
      <c r="C5" s="27"/>
      <c r="F5" s="29">
        <f t="shared" ref="F5:F13" si="0">C5</f>
        <v>0</v>
      </c>
      <c r="G5" s="18" t="str">
        <f>IF(F5="Yes",1,IF(F5="No",0,"'"))</f>
        <v>'</v>
      </c>
      <c r="H5" s="430"/>
      <c r="I5" s="18" t="str">
        <f t="shared" ref="I5:I13" si="1">IF(C5="No","Red Flag","'")</f>
        <v>'</v>
      </c>
    </row>
    <row r="6" spans="1:9">
      <c r="A6" s="10" t="s">
        <v>6513</v>
      </c>
      <c r="B6" s="478" t="str">
        <f>Language!A1636</f>
        <v>Covers on each centrifuge bucket</v>
      </c>
      <c r="C6" s="27"/>
      <c r="F6" s="29">
        <f t="shared" si="0"/>
        <v>0</v>
      </c>
      <c r="G6" s="18" t="str">
        <f t="shared" ref="G6:G13" si="2">IF(F6="Yes",1,IF(F6="No",0,"'"))</f>
        <v>'</v>
      </c>
      <c r="H6" s="430"/>
      <c r="I6" s="18" t="str">
        <f t="shared" si="1"/>
        <v>'</v>
      </c>
    </row>
    <row r="7" spans="1:9">
      <c r="A7" s="10" t="s">
        <v>6514</v>
      </c>
      <c r="B7" s="478" t="str">
        <f>Language!A1637</f>
        <v>Cover over centrifuge rotor</v>
      </c>
      <c r="C7" s="27"/>
      <c r="F7" s="29">
        <f t="shared" si="0"/>
        <v>0</v>
      </c>
      <c r="G7" s="18" t="str">
        <f t="shared" si="2"/>
        <v>'</v>
      </c>
      <c r="H7" s="430"/>
      <c r="I7" s="18" t="str">
        <f t="shared" si="1"/>
        <v>'</v>
      </c>
    </row>
    <row r="8" spans="1:9">
      <c r="A8" s="10" t="s">
        <v>6515</v>
      </c>
      <c r="B8" s="478" t="str">
        <f>Language!A1638</f>
        <v>Hand-washing station</v>
      </c>
      <c r="C8" s="27"/>
      <c r="F8" s="29">
        <f t="shared" si="0"/>
        <v>0</v>
      </c>
      <c r="G8" s="18" t="str">
        <f t="shared" si="2"/>
        <v>'</v>
      </c>
      <c r="H8" s="430"/>
      <c r="I8" s="18" t="str">
        <f t="shared" si="1"/>
        <v>'</v>
      </c>
    </row>
    <row r="9" spans="1:9">
      <c r="A9" s="10" t="s">
        <v>6516</v>
      </c>
      <c r="B9" s="478" t="str">
        <f>Language!A1639</f>
        <v>Eyewash station/bottle</v>
      </c>
      <c r="C9" s="27"/>
      <c r="F9" s="29">
        <f t="shared" si="0"/>
        <v>0</v>
      </c>
      <c r="G9" s="18" t="str">
        <f t="shared" si="2"/>
        <v>'</v>
      </c>
      <c r="H9" s="430"/>
      <c r="I9" s="18" t="str">
        <f t="shared" si="1"/>
        <v>'</v>
      </c>
    </row>
    <row r="10" spans="1:9">
      <c r="A10" s="10" t="s">
        <v>6517</v>
      </c>
      <c r="B10" s="37" t="str">
        <f>Language!A1640</f>
        <v>Sharps containers</v>
      </c>
      <c r="C10" s="27"/>
      <c r="F10" s="29">
        <f t="shared" si="0"/>
        <v>0</v>
      </c>
      <c r="G10" s="18" t="str">
        <f t="shared" si="2"/>
        <v>'</v>
      </c>
      <c r="H10" s="430"/>
      <c r="I10" s="18" t="str">
        <f t="shared" si="1"/>
        <v>'</v>
      </c>
    </row>
    <row r="11" spans="1:9">
      <c r="A11" s="10" t="s">
        <v>6518</v>
      </c>
      <c r="B11" s="479" t="str">
        <f>Language!A1641</f>
        <v>Flame cabinet (for securely storing flammable liquids, e.g. ethanol)</v>
      </c>
      <c r="C11" s="27"/>
      <c r="F11" s="29">
        <f t="shared" si="0"/>
        <v>0</v>
      </c>
      <c r="G11" s="18" t="str">
        <f t="shared" si="2"/>
        <v>'</v>
      </c>
      <c r="H11" s="430"/>
      <c r="I11" s="18" t="str">
        <f t="shared" si="1"/>
        <v>'</v>
      </c>
    </row>
    <row r="12" spans="1:9">
      <c r="A12" s="10" t="s">
        <v>6519</v>
      </c>
      <c r="B12" s="479" t="str">
        <f>Language!A1642</f>
        <v>Spill kit</v>
      </c>
      <c r="C12" s="27"/>
      <c r="F12" s="29">
        <f t="shared" si="0"/>
        <v>0</v>
      </c>
      <c r="G12" s="18" t="str">
        <f t="shared" si="2"/>
        <v>'</v>
      </c>
      <c r="H12" s="430"/>
      <c r="I12" s="18" t="str">
        <f t="shared" si="1"/>
        <v>'</v>
      </c>
    </row>
    <row r="13" spans="1:9">
      <c r="A13" s="10" t="s">
        <v>6520</v>
      </c>
      <c r="B13" s="479" t="str">
        <f>Language!A1643</f>
        <v>First aid kit</v>
      </c>
      <c r="C13" s="27"/>
      <c r="F13" s="29">
        <f t="shared" si="0"/>
        <v>0</v>
      </c>
      <c r="G13" s="18" t="str">
        <f t="shared" si="2"/>
        <v>'</v>
      </c>
      <c r="H13" s="430"/>
      <c r="I13" s="18" t="str">
        <f t="shared" si="1"/>
        <v>'</v>
      </c>
    </row>
    <row r="14" spans="1:9" ht="31.2" customHeight="1">
      <c r="A14" s="10"/>
      <c r="B14" s="623" t="str">
        <f>Language!A1644</f>
        <v xml:space="preserve">Standard: It is the responsibility of laboratory management to ensure the laboratory is equipped with standard safety equipment. The list above is a partial list of necessary items. Biosafety cabinets should be in place and in use and all centrifuges should have covers. Hand washing stations should be designated and equipped and eyewash stations (or an acceptable alternative method of eye cleansing) should be available and operable. Spill kits and first aid kits should be kept in a designated place and checked regularly for readiness. </v>
      </c>
      <c r="C14" s="624"/>
      <c r="D14" s="624"/>
      <c r="E14" s="624"/>
      <c r="F14" s="624"/>
      <c r="G14" s="624"/>
      <c r="H14" s="624"/>
    </row>
    <row r="15" spans="1:9" ht="24.45" customHeight="1">
      <c r="A15" s="10"/>
      <c r="B15" s="623" t="str">
        <f>Language!A1645</f>
        <v>Standard: ISO 15189: 5.2.10  All syringes, needles, lancets, or other bloodletting devices capable of transmitting infection must be used only once and discarded in puncture resistant containers that are not overfilled. Sharps containers should be clearly marked to warn handlers of the potential hazard and should be located in areas where sharps are commonly used.</v>
      </c>
      <c r="C15" s="624"/>
      <c r="D15" s="624"/>
      <c r="E15" s="624"/>
      <c r="F15" s="624"/>
      <c r="G15" s="624"/>
      <c r="H15" s="624"/>
    </row>
    <row r="16" spans="1:9">
      <c r="A16" s="10" t="s">
        <v>6521</v>
      </c>
      <c r="B16" s="53" t="str">
        <f>Language!A1646</f>
        <v xml:space="preserve">Have all biosafety cabinets been recertified within a year of today’s date? </v>
      </c>
      <c r="C16" s="27"/>
      <c r="F16" s="29">
        <f>C16</f>
        <v>0</v>
      </c>
      <c r="G16" s="18" t="str">
        <f t="shared" ref="G16" si="3">IF(F16="Yes",1,IF(F16="No",0,"'"))</f>
        <v>'</v>
      </c>
      <c r="H16" s="430"/>
      <c r="I16" s="18" t="str">
        <f>IF(C16="No","Red Flag","'")</f>
        <v>'</v>
      </c>
    </row>
    <row r="17" spans="1:11" ht="22.2" customHeight="1">
      <c r="A17" s="10"/>
      <c r="B17" s="623" t="str">
        <f>Language!A1647</f>
        <v>Standard: A biosafety cabinet should be used for to prevent aerosol exposure to contagious specimens or organisms. For proper functioning and full protection, biosafety cabinets require periodic maintenance and should be serviced accordingly.</v>
      </c>
      <c r="C17" s="624"/>
      <c r="D17" s="624"/>
      <c r="E17" s="624"/>
      <c r="F17" s="624"/>
      <c r="G17" s="624"/>
      <c r="H17" s="624"/>
    </row>
    <row r="18" spans="1:11">
      <c r="A18" s="160"/>
      <c r="B18" s="14" t="str">
        <f>Language!A1648</f>
        <v>PERSONAL PROTECTIVE EQUIPMENT</v>
      </c>
      <c r="C18" s="44" t="str">
        <f>IF(COUNTBLANK(C19:C25)=7,"???",IF(COUNT(G19:G25)=0,"NA",AVERAGE(G19:G25)))</f>
        <v>???</v>
      </c>
      <c r="F18" s="28"/>
      <c r="H18" s="193"/>
    </row>
    <row r="19" spans="1:11">
      <c r="A19" s="10"/>
      <c r="B19" s="8" t="str">
        <f>Language!A1649</f>
        <v>Is all necessary personal protective equipment (PPE) available for BSL2?</v>
      </c>
      <c r="C19"/>
      <c r="F19"/>
      <c r="H19" s="165"/>
    </row>
    <row r="20" spans="1:11">
      <c r="A20" s="10" t="s">
        <v>6522</v>
      </c>
      <c r="B20" s="37" t="str">
        <f>Language!A1650</f>
        <v>Gowns</v>
      </c>
      <c r="C20" s="27"/>
      <c r="F20" s="29">
        <f t="shared" ref="F20:F25" si="4">C20</f>
        <v>0</v>
      </c>
      <c r="G20" s="18" t="str">
        <f>IF(F20="Yes",1,IF(F20="No",0,"'"))</f>
        <v>'</v>
      </c>
      <c r="H20" s="430"/>
      <c r="I20" s="18" t="str">
        <f>IF(C20="No","Red Flag","'")</f>
        <v>'</v>
      </c>
    </row>
    <row r="21" spans="1:11">
      <c r="A21" s="10" t="s">
        <v>6523</v>
      </c>
      <c r="B21" s="37" t="str">
        <f>Language!A1651</f>
        <v>Gloves</v>
      </c>
      <c r="C21" s="27"/>
      <c r="F21" s="29">
        <f t="shared" si="4"/>
        <v>0</v>
      </c>
      <c r="G21" s="18" t="str">
        <f t="shared" ref="G21:G24" si="5">IF(F21="Yes",1,IF(F21="No",0,"'"))</f>
        <v>'</v>
      </c>
      <c r="H21" s="430"/>
      <c r="I21" s="18" t="str">
        <f>IF(C21="No","Red Flag","'")</f>
        <v>'</v>
      </c>
    </row>
    <row r="22" spans="1:11">
      <c r="A22" s="10" t="s">
        <v>6524</v>
      </c>
      <c r="B22" s="37" t="str">
        <f>Language!A1652</f>
        <v>Eye protection</v>
      </c>
      <c r="C22" s="27"/>
      <c r="F22" s="29">
        <f t="shared" si="4"/>
        <v>0</v>
      </c>
      <c r="G22" s="18" t="str">
        <f t="shared" si="5"/>
        <v>'</v>
      </c>
      <c r="H22" s="430"/>
      <c r="I22" s="18" t="str">
        <f>IF(C22="No","Red Flag","'")</f>
        <v>'</v>
      </c>
    </row>
    <row r="23" spans="1:11">
      <c r="A23" s="10" t="s">
        <v>6525</v>
      </c>
      <c r="B23" s="37" t="str">
        <f>Language!A1653</f>
        <v>Aerosol face protection (respirator, face shield, or splatter guard)</v>
      </c>
      <c r="C23" s="27"/>
      <c r="F23" s="29">
        <f t="shared" si="4"/>
        <v>0</v>
      </c>
      <c r="G23" s="18" t="str">
        <f t="shared" si="5"/>
        <v>'</v>
      </c>
      <c r="H23" s="430"/>
      <c r="I23" s="18" t="str">
        <f>IF(C23="No","Red Flag","'")</f>
        <v>'</v>
      </c>
    </row>
    <row r="24" spans="1:11">
      <c r="A24" s="10" t="s">
        <v>6526</v>
      </c>
      <c r="B24" s="8" t="str">
        <f>Language!A1654</f>
        <v>Does lab policy require microbiology staff to wear close-toed shoes?</v>
      </c>
      <c r="C24" s="27"/>
      <c r="F24" s="29">
        <f t="shared" si="4"/>
        <v>0</v>
      </c>
      <c r="G24" s="18" t="str">
        <f t="shared" si="5"/>
        <v>'</v>
      </c>
      <c r="H24" s="430"/>
      <c r="I24" s="18" t="str">
        <f>IF(C24="No","Red Flag","'")</f>
        <v>'</v>
      </c>
    </row>
    <row r="25" spans="1:11">
      <c r="A25" s="10" t="s">
        <v>6527</v>
      </c>
      <c r="B25" s="8" t="str">
        <f>Language!A1655</f>
        <v>Is PPE utilized appropriately and consistently by laboratory staff? (Observe)</v>
      </c>
      <c r="C25" s="27"/>
      <c r="F25" s="29">
        <f t="shared" si="4"/>
        <v>0</v>
      </c>
      <c r="G25" s="18" t="str">
        <f>IF(F25=1,1,IF(F25=2,0,IF(F25=3,0,"'")))</f>
        <v>'</v>
      </c>
      <c r="H25" s="430"/>
      <c r="I25" s="18" t="str">
        <f>IF(F25=2,"Red Flag",IF(F25=3,"Red Flag",""))</f>
        <v/>
      </c>
    </row>
    <row r="26" spans="1:11">
      <c r="A26" s="10"/>
      <c r="B26" s="439" t="str">
        <f>Language!A1656</f>
        <v>1: Yes - 2: Partial - 3: No</v>
      </c>
      <c r="C26" s="42"/>
      <c r="F26" s="29"/>
      <c r="G26" s="18"/>
      <c r="H26" s="169"/>
    </row>
    <row r="27" spans="1:11" ht="33.6" customHeight="1">
      <c r="A27" s="10"/>
      <c r="B27" s="623" t="str">
        <f>Language!A1657</f>
        <v>Standard: Management is responsible to provide appropriate personal protective equipment— gloves, lab coats, eye protection, shields, etc. — in useable condition. Laboratory staff must utilize personal protective equipment in the laboratory at all times. Protective clothing should not be worn outside the laboratory. Gloves should be replaced immediately when torn or contaminated and not washed for reuse</v>
      </c>
      <c r="C27" s="624"/>
      <c r="D27" s="624"/>
      <c r="E27" s="624"/>
      <c r="F27" s="624"/>
      <c r="G27" s="624"/>
      <c r="H27" s="624"/>
    </row>
    <row r="28" spans="1:11">
      <c r="A28" s="16"/>
      <c r="B28" s="444"/>
      <c r="C28" s="98"/>
      <c r="D28" s="400"/>
      <c r="E28" s="150"/>
      <c r="F28" s="194"/>
      <c r="G28" s="150"/>
      <c r="H28" s="212"/>
      <c r="J28" s="150"/>
      <c r="K28" s="150"/>
    </row>
    <row r="29" spans="1:11">
      <c r="A29" s="160"/>
      <c r="B29" s="14" t="str">
        <f>Language!A1658</f>
        <v>BIOSAFETY BEHAVIORS</v>
      </c>
      <c r="C29" s="44" t="str">
        <f>IF(COUNTBLANK(C30:C37)=8,"???",IF(COUNT(G30:G37)=0,"NA",AVERAGE(G30:G37)))</f>
        <v>???</v>
      </c>
      <c r="F29" s="28"/>
      <c r="H29" s="193"/>
    </row>
    <row r="30" spans="1:11">
      <c r="A30" s="10" t="s">
        <v>6528</v>
      </c>
      <c r="B30" s="53" t="str">
        <f>Language!A1659</f>
        <v>Does lab policy prohibit eating, drinking, and smoking in the laboratory?</v>
      </c>
      <c r="C30" s="46"/>
      <c r="F30" s="29">
        <f>C30</f>
        <v>0</v>
      </c>
      <c r="G30" s="18" t="str">
        <f>IF(F30="Yes",1,IF(F30="No",0,"'"))</f>
        <v>'</v>
      </c>
      <c r="H30" s="430"/>
      <c r="I30" s="18" t="str">
        <f>IF(C30="No","Red Flag","'")</f>
        <v>'</v>
      </c>
    </row>
    <row r="31" spans="1:11">
      <c r="A31" s="10"/>
      <c r="B31" s="8" t="str">
        <f>Language!A1660</f>
        <v>Observe the refrigerators and freezers where media and reagents are stored. Are they:</v>
      </c>
      <c r="C31" s="15"/>
      <c r="F31" s="22"/>
      <c r="H31" s="193"/>
    </row>
    <row r="32" spans="1:11">
      <c r="A32" s="10" t="s">
        <v>6529</v>
      </c>
      <c r="B32" s="37" t="str">
        <f>Language!A1661</f>
        <v>Designated specifically for storage of media/reagents?</v>
      </c>
      <c r="C32" s="432"/>
      <c r="F32" s="23">
        <f t="shared" ref="F32:F37" si="6">C32</f>
        <v>0</v>
      </c>
      <c r="G32" s="18" t="str">
        <f>IF(F32="Yes",1,IF(F32="No",0,"'"))</f>
        <v>'</v>
      </c>
      <c r="H32" s="431"/>
      <c r="I32" s="18" t="str">
        <f t="shared" ref="I32:I37" si="7">IF(C32="No","Red Flag","'")</f>
        <v>'</v>
      </c>
    </row>
    <row r="33" spans="1:9">
      <c r="A33" s="10" t="s">
        <v>6530</v>
      </c>
      <c r="B33" s="37" t="str">
        <f>Language!A1662</f>
        <v>Free of staff food items?</v>
      </c>
      <c r="C33" s="27"/>
      <c r="F33" s="23">
        <f t="shared" si="6"/>
        <v>0</v>
      </c>
      <c r="G33" s="18" t="str">
        <f t="shared" ref="G33:G35" si="8">IF(F33="Yes",1,IF(F33="No",0,"'"))</f>
        <v>'</v>
      </c>
      <c r="H33" s="431"/>
      <c r="I33" s="18" t="str">
        <f t="shared" si="7"/>
        <v>'</v>
      </c>
    </row>
    <row r="34" spans="1:9">
      <c r="A34" s="10" t="s">
        <v>6531</v>
      </c>
      <c r="B34" s="37" t="str">
        <f>Language!A1663</f>
        <v>Free of patient samples?</v>
      </c>
      <c r="C34" s="432"/>
      <c r="F34" s="23">
        <f t="shared" si="6"/>
        <v>0</v>
      </c>
      <c r="G34" s="18" t="str">
        <f t="shared" si="8"/>
        <v>'</v>
      </c>
      <c r="H34" s="431"/>
      <c r="I34" s="18" t="str">
        <f t="shared" si="7"/>
        <v>'</v>
      </c>
    </row>
    <row r="35" spans="1:9">
      <c r="A35" s="10" t="s">
        <v>6532</v>
      </c>
      <c r="B35" s="37" t="str">
        <f>Language!A1664</f>
        <v>Well organized and free of clutter?</v>
      </c>
      <c r="C35" s="432"/>
      <c r="F35" s="23">
        <f t="shared" si="6"/>
        <v>0</v>
      </c>
      <c r="G35" s="18" t="str">
        <f t="shared" si="8"/>
        <v>'</v>
      </c>
      <c r="H35" s="431"/>
      <c r="I35" s="18" t="str">
        <f t="shared" si="7"/>
        <v>'</v>
      </c>
    </row>
    <row r="36" spans="1:9">
      <c r="A36" s="10" t="s">
        <v>6533</v>
      </c>
      <c r="B36" s="53" t="str">
        <f>Language!A1665</f>
        <v>Are all hazardous chemicals stored appropriately (acids separate from alkaline; flammables in a flame cabinet)?</v>
      </c>
      <c r="C36" s="27"/>
      <c r="F36" s="29">
        <f t="shared" si="6"/>
        <v>0</v>
      </c>
      <c r="G36" s="18" t="str">
        <f>IF(F36="Yes",1,IF(F36="No",0,"'"))</f>
        <v>'</v>
      </c>
      <c r="H36" s="430"/>
      <c r="I36" s="18" t="str">
        <f t="shared" si="7"/>
        <v>'</v>
      </c>
    </row>
    <row r="37" spans="1:9">
      <c r="A37" s="10" t="s">
        <v>6534</v>
      </c>
      <c r="B37" s="8" t="str">
        <f>Language!A1666</f>
        <v xml:space="preserve">Is work area (bench and hood) disinfection documented daily? </v>
      </c>
      <c r="C37" s="27"/>
      <c r="F37" s="29">
        <f t="shared" si="6"/>
        <v>0</v>
      </c>
      <c r="G37" s="18" t="str">
        <f>IF(F37="Yes",1,IF(F37="No",0,"'"))</f>
        <v>'</v>
      </c>
      <c r="H37" s="430"/>
      <c r="I37" s="18" t="str">
        <f t="shared" si="7"/>
        <v>'</v>
      </c>
    </row>
    <row r="38" spans="1:9" ht="23.7" customHeight="1">
      <c r="A38" s="10"/>
      <c r="B38" s="623" t="str">
        <f>Language!A1667</f>
        <v>Standard: ISO 15189: 5.2.10 The work area should be regularly inspected for cleanliness and spills. An appropriate disinfectant should be used. At a minimum, all benchtops and working surfaces should be disinfected at the beginning and end of every shift. All spills should be contained immediately and the work surfaces disinfected.</v>
      </c>
      <c r="C38" s="624"/>
      <c r="D38" s="624"/>
      <c r="E38" s="624"/>
      <c r="F38" s="624"/>
      <c r="G38" s="624"/>
      <c r="H38" s="624"/>
    </row>
    <row r="39" spans="1:9">
      <c r="A39" s="10"/>
      <c r="B39" s="443"/>
    </row>
    <row r="40" spans="1:9">
      <c r="A40" s="160"/>
      <c r="B40" s="14" t="str">
        <f>Language!A1668</f>
        <v>BIOSAFETY DOCUMENTATION AND TRAINING</v>
      </c>
      <c r="C40" s="44" t="str">
        <f>IF(COUNTBLANK(C41:C45)=5,"???",IF(COUNT(G41:G45)=0,"NA",AVERAGE(G41:G45)))</f>
        <v>???</v>
      </c>
      <c r="F40" s="28"/>
      <c r="H40" s="193"/>
    </row>
    <row r="41" spans="1:9">
      <c r="A41" s="10" t="s">
        <v>6535</v>
      </c>
      <c r="B41" s="7" t="str">
        <f>Language!A1669</f>
        <v>Is a safety/biosafety manual available in the laboratory and easily accessible to all staff?</v>
      </c>
      <c r="C41" s="27"/>
      <c r="F41" s="29">
        <f>C41</f>
        <v>0</v>
      </c>
      <c r="G41" s="18" t="str">
        <f>IF(F41="Yes",1,IF(F41="No",0,"'"))</f>
        <v>'</v>
      </c>
      <c r="H41" s="430"/>
    </row>
    <row r="42" spans="1:9">
      <c r="A42" s="10" t="s">
        <v>6536</v>
      </c>
      <c r="B42" s="7" t="str">
        <f>Language!A1670</f>
        <v>Is a training module in safety/biosafety available in the laboratory?</v>
      </c>
      <c r="C42" s="27"/>
      <c r="F42" s="29">
        <f>C42</f>
        <v>0</v>
      </c>
      <c r="G42" s="18" t="str">
        <f t="shared" ref="G42:G45" si="9">IF(F42="Yes",1,IF(F42="No",0,"'"))</f>
        <v>'</v>
      </c>
      <c r="H42" s="430"/>
    </row>
    <row r="43" spans="1:9" ht="27.6">
      <c r="A43" s="10" t="s">
        <v>6537</v>
      </c>
      <c r="B43" s="7" t="str">
        <f>Language!A1671</f>
        <v>Is there documentation demonstrating that an annual safety/biosafety refresher course is conducted for all staff handling specimens, isolates, or chemicals?</v>
      </c>
      <c r="C43" s="27"/>
      <c r="F43" s="29">
        <f>C43</f>
        <v>0</v>
      </c>
      <c r="G43" s="18" t="str">
        <f t="shared" si="9"/>
        <v>'</v>
      </c>
      <c r="H43" s="430"/>
      <c r="I43" s="18" t="str">
        <f t="shared" ref="I43" si="10">IF(C43="No","Red Flag","'")</f>
        <v>'</v>
      </c>
    </row>
    <row r="44" spans="1:9">
      <c r="A44" s="10" t="s">
        <v>6538</v>
      </c>
      <c r="B44" s="7" t="str">
        <f>Language!A1672</f>
        <v>Is there documentation demonstrating that accident/incident investigations are systematically conducted?</v>
      </c>
      <c r="C44" s="27"/>
      <c r="F44" s="29">
        <f>C44</f>
        <v>0</v>
      </c>
      <c r="G44" s="18" t="str">
        <f t="shared" si="9"/>
        <v>'</v>
      </c>
      <c r="H44" s="430"/>
    </row>
    <row r="45" spans="1:9">
      <c r="A45" s="10" t="s">
        <v>6539</v>
      </c>
      <c r="B45" s="7" t="str">
        <f>Language!A1673</f>
        <v>Are risk assessments conducted annually and each time a new analysis/technology/equipment is introduced?</v>
      </c>
      <c r="C45" s="27"/>
      <c r="F45" s="29">
        <f>C45</f>
        <v>0</v>
      </c>
      <c r="G45" s="18" t="str">
        <f t="shared" si="9"/>
        <v>'</v>
      </c>
      <c r="H45" s="430"/>
    </row>
  </sheetData>
  <sheetProtection algorithmName="SHA-256" hashValue="t/GNw9sYI/zXoL05aUO+IW7nGUIDKrjfmM7eDFaRhJU=" saltValue="dUB0mhE18vqB8fMfmqQ7hg==" spinCount="100000" sheet="1" selectLockedCells="1"/>
  <mergeCells count="5">
    <mergeCell ref="B14:H14"/>
    <mergeCell ref="B15:H15"/>
    <mergeCell ref="B17:H17"/>
    <mergeCell ref="B27:H27"/>
    <mergeCell ref="B38:H38"/>
  </mergeCells>
  <phoneticPr fontId="45" type="noConversion"/>
  <conditionalFormatting sqref="C3:C4">
    <cfRule type="cellIs" dxfId="165" priority="60" stopIfTrue="1" operator="lessThan">
      <formula>0.5</formula>
    </cfRule>
    <cfRule type="cellIs" dxfId="164" priority="58" stopIfTrue="1" operator="greaterThanOrEqual">
      <formula>0.8</formula>
    </cfRule>
    <cfRule type="cellIs" dxfId="163" priority="59" stopIfTrue="1" operator="between">
      <formula>0.5</formula>
      <formula>0.799</formula>
    </cfRule>
  </conditionalFormatting>
  <conditionalFormatting sqref="C18">
    <cfRule type="cellIs" dxfId="162" priority="53" stopIfTrue="1" operator="between">
      <formula>0.5</formula>
      <formula>0.799</formula>
    </cfRule>
    <cfRule type="cellIs" dxfId="161" priority="54" stopIfTrue="1" operator="lessThan">
      <formula>0.5</formula>
    </cfRule>
    <cfRule type="cellIs" dxfId="160" priority="52" stopIfTrue="1" operator="greaterThanOrEqual">
      <formula>0.8</formula>
    </cfRule>
  </conditionalFormatting>
  <conditionalFormatting sqref="C29">
    <cfRule type="cellIs" dxfId="159" priority="55" stopIfTrue="1" operator="greaterThanOrEqual">
      <formula>0.8</formula>
    </cfRule>
    <cfRule type="cellIs" dxfId="158" priority="57" stopIfTrue="1" operator="lessThan">
      <formula>0.5</formula>
    </cfRule>
    <cfRule type="cellIs" dxfId="157" priority="56" stopIfTrue="1" operator="between">
      <formula>0.5</formula>
      <formula>0.799</formula>
    </cfRule>
  </conditionalFormatting>
  <conditionalFormatting sqref="C40">
    <cfRule type="cellIs" dxfId="156" priority="64" stopIfTrue="1" operator="greaterThanOrEqual">
      <formula>0.8</formula>
    </cfRule>
    <cfRule type="cellIs" dxfId="155" priority="65" stopIfTrue="1" operator="between">
      <formula>0.5</formula>
      <formula>0.799</formula>
    </cfRule>
    <cfRule type="cellIs" dxfId="154" priority="66" stopIfTrue="1" operator="lessThan">
      <formula>0.5</formula>
    </cfRule>
  </conditionalFormatting>
  <conditionalFormatting sqref="G5:G13">
    <cfRule type="cellIs" dxfId="153" priority="162" stopIfTrue="1" operator="greaterThan">
      <formula>0.75</formula>
    </cfRule>
    <cfRule type="cellIs" dxfId="152" priority="160" stopIfTrue="1" operator="lessThan">
      <formula>0.5</formula>
    </cfRule>
    <cfRule type="cellIs" dxfId="151" priority="161" stopIfTrue="1" operator="between">
      <formula>0.5</formula>
      <formula>0.75</formula>
    </cfRule>
  </conditionalFormatting>
  <conditionalFormatting sqref="G16">
    <cfRule type="cellIs" dxfId="150" priority="28" stopIfTrue="1" operator="greaterThan">
      <formula>0.75</formula>
    </cfRule>
    <cfRule type="cellIs" dxfId="149" priority="27" stopIfTrue="1" operator="between">
      <formula>0.5</formula>
      <formula>0.75</formula>
    </cfRule>
    <cfRule type="cellIs" dxfId="148" priority="26" stopIfTrue="1" operator="lessThan">
      <formula>0.5</formula>
    </cfRule>
  </conditionalFormatting>
  <conditionalFormatting sqref="G20:G26">
    <cfRule type="cellIs" dxfId="147" priority="25" stopIfTrue="1" operator="greaterThan">
      <formula>0.75</formula>
    </cfRule>
    <cfRule type="cellIs" dxfId="146" priority="24" stopIfTrue="1" operator="between">
      <formula>0.5</formula>
      <formula>0.75</formula>
    </cfRule>
    <cfRule type="cellIs" dxfId="145" priority="23" stopIfTrue="1" operator="lessThan">
      <formula>0.5</formula>
    </cfRule>
  </conditionalFormatting>
  <conditionalFormatting sqref="G30">
    <cfRule type="cellIs" dxfId="144" priority="20" stopIfTrue="1" operator="lessThan">
      <formula>0.5</formula>
    </cfRule>
    <cfRule type="cellIs" dxfId="143" priority="21" stopIfTrue="1" operator="between">
      <formula>0.5</formula>
      <formula>0.75</formula>
    </cfRule>
    <cfRule type="cellIs" dxfId="142" priority="22" stopIfTrue="1" operator="greaterThan">
      <formula>0.75</formula>
    </cfRule>
  </conditionalFormatting>
  <conditionalFormatting sqref="G32:G37">
    <cfRule type="cellIs" dxfId="141" priority="16" stopIfTrue="1" operator="greaterThan">
      <formula>0.75</formula>
    </cfRule>
    <cfRule type="cellIs" dxfId="140" priority="15" stopIfTrue="1" operator="between">
      <formula>0.5</formula>
      <formula>0.75</formula>
    </cfRule>
    <cfRule type="cellIs" dxfId="139" priority="14" stopIfTrue="1" operator="lessThan">
      <formula>0.5</formula>
    </cfRule>
  </conditionalFormatting>
  <conditionalFormatting sqref="G41:G45">
    <cfRule type="cellIs" dxfId="138" priority="13" stopIfTrue="1" operator="greaterThan">
      <formula>0.75</formula>
    </cfRule>
    <cfRule type="cellIs" dxfId="137" priority="12" stopIfTrue="1" operator="between">
      <formula>0.5</formula>
      <formula>0.75</formula>
    </cfRule>
    <cfRule type="cellIs" dxfId="136" priority="11" stopIfTrue="1" operator="lessThan">
      <formula>0.5</formula>
    </cfRule>
  </conditionalFormatting>
  <conditionalFormatting sqref="I5:I13">
    <cfRule type="containsText" dxfId="135" priority="45" stopIfTrue="1" operator="containsText" text="RED FLAG">
      <formula>NOT(ISERROR(SEARCH("RED FLAG",I5)))</formula>
    </cfRule>
    <cfRule type="cellIs" dxfId="134" priority="46" stopIfTrue="1" operator="lessThan">
      <formula>0.5</formula>
    </cfRule>
    <cfRule type="cellIs" dxfId="133" priority="47" stopIfTrue="1" operator="between">
      <formula>0.5</formula>
      <formula>0.75</formula>
    </cfRule>
    <cfRule type="cellIs" dxfId="132" priority="48" stopIfTrue="1" operator="greaterThan">
      <formula>0.75</formula>
    </cfRule>
  </conditionalFormatting>
  <conditionalFormatting sqref="I16">
    <cfRule type="cellIs" dxfId="131" priority="9" stopIfTrue="1" operator="greaterThan">
      <formula>0.75</formula>
    </cfRule>
    <cfRule type="cellIs" dxfId="130" priority="8" stopIfTrue="1" operator="between">
      <formula>0.5</formula>
      <formula>0.75</formula>
    </cfRule>
    <cfRule type="containsText" dxfId="129" priority="6" stopIfTrue="1" operator="containsText" text="RED FLAG">
      <formula>NOT(ISERROR(SEARCH("RED FLAG",I16)))</formula>
    </cfRule>
    <cfRule type="cellIs" dxfId="128" priority="7" stopIfTrue="1" operator="lessThan">
      <formula>0.5</formula>
    </cfRule>
  </conditionalFormatting>
  <conditionalFormatting sqref="I20:I24">
    <cfRule type="containsText" dxfId="127" priority="1" stopIfTrue="1" operator="containsText" text="RED FLAG">
      <formula>NOT(ISERROR(SEARCH("RED FLAG",I20)))</formula>
    </cfRule>
    <cfRule type="cellIs" dxfId="126" priority="4" stopIfTrue="1" operator="greaterThan">
      <formula>0.75</formula>
    </cfRule>
    <cfRule type="cellIs" dxfId="125" priority="3" stopIfTrue="1" operator="between">
      <formula>0.5</formula>
      <formula>0.75</formula>
    </cfRule>
    <cfRule type="cellIs" dxfId="124" priority="2" stopIfTrue="1" operator="lessThan">
      <formula>0.5</formula>
    </cfRule>
  </conditionalFormatting>
  <conditionalFormatting sqref="I25">
    <cfRule type="containsText" dxfId="123" priority="10" operator="containsText" text="Red Flag">
      <formula>NOT(ISERROR(SEARCH("Red Flag",I25)))</formula>
    </cfRule>
  </conditionalFormatting>
  <conditionalFormatting sqref="I30">
    <cfRule type="cellIs" dxfId="122" priority="38" stopIfTrue="1" operator="lessThan">
      <formula>0.5</formula>
    </cfRule>
    <cfRule type="containsText" dxfId="121" priority="37" stopIfTrue="1" operator="containsText" text="RED FLAG">
      <formula>NOT(ISERROR(SEARCH("RED FLAG",I30)))</formula>
    </cfRule>
    <cfRule type="cellIs" dxfId="120" priority="39" stopIfTrue="1" operator="between">
      <formula>0.5</formula>
      <formula>0.75</formula>
    </cfRule>
    <cfRule type="cellIs" dxfId="119" priority="40" stopIfTrue="1" operator="greaterThan">
      <formula>0.75</formula>
    </cfRule>
  </conditionalFormatting>
  <conditionalFormatting sqref="I32:I37">
    <cfRule type="containsText" dxfId="118" priority="33" stopIfTrue="1" operator="containsText" text="RED FLAG">
      <formula>NOT(ISERROR(SEARCH("RED FLAG",I32)))</formula>
    </cfRule>
    <cfRule type="cellIs" dxfId="117" priority="34" stopIfTrue="1" operator="lessThan">
      <formula>0.5</formula>
    </cfRule>
    <cfRule type="cellIs" dxfId="116" priority="35" stopIfTrue="1" operator="between">
      <formula>0.5</formula>
      <formula>0.75</formula>
    </cfRule>
    <cfRule type="cellIs" dxfId="115" priority="36" stopIfTrue="1" operator="greaterThan">
      <formula>0.75</formula>
    </cfRule>
  </conditionalFormatting>
  <conditionalFormatting sqref="I43">
    <cfRule type="containsText" dxfId="114" priority="29" stopIfTrue="1" operator="containsText" text="RED FLAG">
      <formula>NOT(ISERROR(SEARCH("RED FLAG",I43)))</formula>
    </cfRule>
    <cfRule type="cellIs" dxfId="113" priority="32" stopIfTrue="1" operator="greaterThan">
      <formula>0.75</formula>
    </cfRule>
    <cfRule type="cellIs" dxfId="112" priority="31" stopIfTrue="1" operator="between">
      <formula>0.5</formula>
      <formula>0.75</formula>
    </cfRule>
    <cfRule type="cellIs" dxfId="111" priority="30" stopIfTrue="1" operator="lessThan">
      <formula>0.5</formula>
    </cfRule>
  </conditionalFormatting>
  <dataValidations count="2">
    <dataValidation type="list" allowBlank="1" showInputMessage="1" showErrorMessage="1" sqref="C5:C13 C41:C45 C30 C16 C20:C24 C32:C37" xr:uid="{00000000-0002-0000-1200-000000000000}">
      <formula1>"Yes,No"</formula1>
    </dataValidation>
    <dataValidation type="list" allowBlank="1" showInputMessage="1" showErrorMessage="1" sqref="C25" xr:uid="{00000000-0002-0000-1200-000001000000}">
      <formula1>"1,2,3"</formula1>
    </dataValidation>
  </dataValidations>
  <pageMargins left="0.25" right="0.25" top="0.75000000000000011" bottom="0.75000000000000011" header="0.30000000000000004" footer="0.30000000000000004"/>
  <pageSetup paperSize="9" scale="94" fitToHeight="2" orientation="landscape" r:id="rId1"/>
  <headerFooter>
    <oddFooter>&amp;C&amp;A -&amp;P</oddFooter>
  </headerFooter>
  <rowBreaks count="1" manualBreakCount="1">
    <brk id="26"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FF0000"/>
  </sheetPr>
  <dimension ref="A1:J247"/>
  <sheetViews>
    <sheetView topLeftCell="A52" zoomScale="90" zoomScaleNormal="90" zoomScaleSheetLayoutView="80" zoomScalePageLayoutView="80" workbookViewId="0">
      <selection sqref="A1:H1"/>
    </sheetView>
  </sheetViews>
  <sheetFormatPr defaultColWidth="11" defaultRowHeight="15.6"/>
  <cols>
    <col min="1" max="1" width="0.69921875" customWidth="1"/>
    <col min="2" max="2" width="45.19921875" style="30" customWidth="1"/>
    <col min="3" max="3" width="8.69921875" style="22" customWidth="1"/>
    <col min="4" max="4" width="8.69921875" bestFit="1" customWidth="1"/>
    <col min="5" max="5" width="8.69921875" customWidth="1"/>
    <col min="6" max="6" width="17" customWidth="1"/>
    <col min="7" max="7" width="8.69921875" customWidth="1"/>
    <col min="8" max="8" width="5.19921875" customWidth="1"/>
    <col min="9" max="9" width="8.69921875" customWidth="1"/>
    <col min="10" max="10" width="25.69921875" customWidth="1"/>
  </cols>
  <sheetData>
    <row r="1" spans="1:10" ht="18">
      <c r="A1" s="642" t="str">
        <f>Language!A37</f>
        <v>Laboratory Assessment of Antibiotic Resistance Testing Capacity</v>
      </c>
      <c r="B1" s="642"/>
      <c r="C1" s="642"/>
      <c r="D1" s="642"/>
      <c r="E1" s="642"/>
      <c r="F1" s="642"/>
      <c r="G1" s="642"/>
      <c r="H1" s="642"/>
      <c r="I1" s="462"/>
    </row>
    <row r="2" spans="1:10">
      <c r="A2" s="643"/>
      <c r="B2" s="643"/>
      <c r="C2" s="643"/>
      <c r="D2" s="643"/>
      <c r="E2" s="643"/>
      <c r="F2" s="643"/>
      <c r="G2" s="643"/>
      <c r="H2" s="644"/>
      <c r="I2" s="463"/>
    </row>
    <row r="3" spans="1:10">
      <c r="A3" s="236"/>
      <c r="B3" s="237"/>
      <c r="C3" s="319"/>
      <c r="D3" s="223"/>
      <c r="E3" s="223"/>
      <c r="F3" s="223"/>
      <c r="G3" s="223"/>
      <c r="H3" s="223"/>
      <c r="I3" s="238"/>
    </row>
    <row r="4" spans="1:10">
      <c r="A4" s="236"/>
      <c r="B4" s="270" t="str">
        <f>Language!A39</f>
        <v xml:space="preserve">Laboratory name </v>
      </c>
      <c r="C4" s="640">
        <f>'General 0'!C8</f>
        <v>0</v>
      </c>
      <c r="D4" s="640"/>
      <c r="E4" s="640"/>
      <c r="F4" s="640"/>
      <c r="G4" s="640"/>
      <c r="H4" s="640"/>
      <c r="I4" s="238"/>
    </row>
    <row r="5" spans="1:10">
      <c r="A5" s="236"/>
      <c r="B5" s="270" t="str">
        <f>Language!A40</f>
        <v>Laboratory address</v>
      </c>
      <c r="C5" s="640">
        <f>'General 0'!C9</f>
        <v>0</v>
      </c>
      <c r="D5" s="640"/>
      <c r="E5" s="640"/>
      <c r="F5" s="640"/>
      <c r="G5" s="640"/>
      <c r="H5" s="640"/>
      <c r="I5" s="239"/>
    </row>
    <row r="6" spans="1:10">
      <c r="A6" s="236"/>
      <c r="B6" s="270" t="str">
        <f>Language!A41</f>
        <v>City/Province/District</v>
      </c>
      <c r="C6" s="319">
        <f>'General 0'!C10</f>
        <v>0</v>
      </c>
      <c r="D6" s="240"/>
      <c r="E6" s="240">
        <f>'General 0'!C11</f>
        <v>0</v>
      </c>
      <c r="F6" s="240"/>
      <c r="G6" s="240">
        <f>'General 0'!C12</f>
        <v>0</v>
      </c>
      <c r="H6" s="240"/>
      <c r="I6" s="238"/>
    </row>
    <row r="7" spans="1:10">
      <c r="A7" s="236"/>
      <c r="B7" s="270" t="str">
        <f>Language!A42</f>
        <v>Country</v>
      </c>
      <c r="C7" s="319">
        <f>'General 0'!C13</f>
        <v>0</v>
      </c>
      <c r="D7" s="240"/>
      <c r="E7" s="240"/>
      <c r="F7" s="240"/>
      <c r="G7" s="240"/>
      <c r="H7" s="240"/>
      <c r="I7" s="238"/>
    </row>
    <row r="8" spans="1:10">
      <c r="A8" s="236"/>
      <c r="B8" s="270" t="str">
        <f>Language!A43</f>
        <v>Date of Assessment</v>
      </c>
      <c r="C8" s="641">
        <f>'General 0'!C7</f>
        <v>0</v>
      </c>
      <c r="D8" s="641"/>
      <c r="E8" s="240"/>
      <c r="F8" s="240"/>
      <c r="G8" s="240"/>
      <c r="H8" s="240"/>
      <c r="I8" s="238"/>
      <c r="J8" s="102"/>
    </row>
    <row r="9" spans="1:10">
      <c r="A9" s="236"/>
      <c r="B9" s="522" t="str">
        <f>Language!A301</f>
        <v>Assessor 1 (name and affiliation)</v>
      </c>
      <c r="C9" s="319">
        <f>'General 0'!C4</f>
        <v>0</v>
      </c>
      <c r="D9" s="223"/>
      <c r="E9" s="223"/>
      <c r="F9" s="223"/>
      <c r="G9" s="223"/>
      <c r="H9" s="223"/>
      <c r="I9" s="238"/>
      <c r="J9" s="103"/>
    </row>
    <row r="10" spans="1:10">
      <c r="B10" s="445" t="str">
        <f>Language!A44</f>
        <v>TEST MENU AND ANNUAL CULTURE WORKLOAD</v>
      </c>
      <c r="C10" s="207"/>
      <c r="D10" s="62"/>
      <c r="J10" s="151"/>
    </row>
    <row r="11" spans="1:10">
      <c r="B11" s="315" t="str">
        <f>Language!A45</f>
        <v>Blood Cultures</v>
      </c>
      <c r="C11" s="320">
        <f>'General 0'!D62</f>
        <v>0</v>
      </c>
      <c r="E11" s="62"/>
      <c r="J11" s="151"/>
    </row>
    <row r="12" spans="1:10">
      <c r="B12" s="316" t="str">
        <f>Language!A46</f>
        <v>Urine Cultures</v>
      </c>
      <c r="C12" s="320">
        <f>'General 0'!D63</f>
        <v>0</v>
      </c>
      <c r="J12" s="148"/>
    </row>
    <row r="13" spans="1:10">
      <c r="B13" s="315" t="str">
        <f>Language!A47</f>
        <v>Stool Cultures</v>
      </c>
      <c r="C13" s="320">
        <f>'General 0'!D64</f>
        <v>0</v>
      </c>
      <c r="J13" s="149"/>
    </row>
    <row r="14" spans="1:10">
      <c r="B14" s="315" t="str">
        <f>Language!A48</f>
        <v>Respiratory Cultures (not TB)</v>
      </c>
      <c r="C14" s="320">
        <f>'General 0'!D71</f>
        <v>0</v>
      </c>
      <c r="J14" s="149"/>
    </row>
    <row r="15" spans="1:10">
      <c r="B15" s="315" t="str">
        <f>Language!A49</f>
        <v>Wound Cultures</v>
      </c>
      <c r="C15" s="320">
        <f>'General 0'!D72</f>
        <v>0</v>
      </c>
      <c r="J15" s="149"/>
    </row>
    <row r="16" spans="1:10">
      <c r="B16" s="315" t="str">
        <f>Language!A50</f>
        <v>Cerebrospinal Fluid Cultures</v>
      </c>
      <c r="C16" s="320">
        <f>'General 0'!D73</f>
        <v>0</v>
      </c>
      <c r="J16" s="148"/>
    </row>
    <row r="17" spans="2:10" ht="27.6" customHeight="1">
      <c r="B17" s="315" t="str">
        <f>Language!A370</f>
        <v>Sterile Body Fluid Cultures (pleural, pericardial, peritoneal, synovial)</v>
      </c>
      <c r="C17" s="320">
        <f>'General 0'!D74</f>
        <v>0</v>
      </c>
      <c r="J17" s="102"/>
    </row>
    <row r="18" spans="2:10">
      <c r="B18" s="315" t="str">
        <f>Language!A52</f>
        <v>Genital Cultures</v>
      </c>
      <c r="C18" s="320">
        <f>'General 0'!D75</f>
        <v>0</v>
      </c>
      <c r="J18" s="102"/>
    </row>
    <row r="19" spans="2:10">
      <c r="B19" s="315" t="str">
        <f>Language!A53</f>
        <v>Anaerobic Cultures</v>
      </c>
      <c r="C19" s="320">
        <f>'General 0'!D76</f>
        <v>0</v>
      </c>
      <c r="J19" s="102"/>
    </row>
    <row r="20" spans="2:10">
      <c r="B20" s="315" t="str">
        <f>Language!A54</f>
        <v>Fungal Cultures (Yeast)</v>
      </c>
      <c r="C20" s="320">
        <f>'General 0'!D77</f>
        <v>0</v>
      </c>
      <c r="J20" s="102"/>
    </row>
    <row r="21" spans="2:10">
      <c r="B21" s="315" t="str">
        <f>Language!A55</f>
        <v>Fungal Cultures (Mold)</v>
      </c>
      <c r="C21" s="320">
        <f>'General 0'!D78</f>
        <v>0</v>
      </c>
      <c r="J21" s="102"/>
    </row>
    <row r="22" spans="2:10">
      <c r="B22" s="315" t="str">
        <f>Language!A56</f>
        <v>MRSA screen (nares, axilla, groin)</v>
      </c>
      <c r="C22" s="320">
        <f>'General 0'!D79</f>
        <v>0</v>
      </c>
      <c r="J22" s="147"/>
    </row>
    <row r="23" spans="2:10">
      <c r="B23" s="315" t="str">
        <f>Language!A57</f>
        <v>VRE screen (rectal swab)</v>
      </c>
      <c r="C23" s="320">
        <f>'General 0'!D80</f>
        <v>0</v>
      </c>
      <c r="J23" s="147"/>
    </row>
    <row r="24" spans="2:10">
      <c r="B24" s="315" t="str">
        <f>Language!A58</f>
        <v>CRE screen (rectal swab)</v>
      </c>
      <c r="C24" s="320">
        <f>'General 0'!D81</f>
        <v>0</v>
      </c>
      <c r="J24" s="102"/>
    </row>
    <row r="25" spans="2:10" ht="27.6" customHeight="1">
      <c r="B25" s="317" t="str">
        <f>Language!A59</f>
        <v>ID and/or AST of isolates referred from other laboratories</v>
      </c>
      <c r="C25" s="320">
        <f>'General 0'!D82</f>
        <v>0</v>
      </c>
      <c r="J25" s="102"/>
    </row>
    <row r="26" spans="2:10">
      <c r="B26" s="317" t="str">
        <f>Language!A60</f>
        <v xml:space="preserve">Other cultures of local imoprtance </v>
      </c>
      <c r="C26" s="320">
        <f>'General 0'!D83</f>
        <v>0</v>
      </c>
      <c r="J26" s="102"/>
    </row>
    <row r="27" spans="2:10">
      <c r="B27" s="446"/>
      <c r="C27" s="171"/>
      <c r="J27" s="102"/>
    </row>
    <row r="28" spans="2:10">
      <c r="B28" s="206" t="str">
        <f>Language!A61</f>
        <v>ANNUAL AST WORKLOAD</v>
      </c>
      <c r="C28" s="208"/>
      <c r="J28" s="102"/>
    </row>
    <row r="29" spans="2:10">
      <c r="B29" s="166" t="str">
        <f>Language!A62</f>
        <v>Automated AST instrument</v>
      </c>
      <c r="C29" s="320">
        <f>'General 0'!D96+'General 0'!D98+'General 0'!D99+'General 0'!D97</f>
        <v>0</v>
      </c>
      <c r="J29" s="102"/>
    </row>
    <row r="30" spans="2:10">
      <c r="B30" s="166" t="str">
        <f>Language!A63</f>
        <v>Disk diffusion</v>
      </c>
      <c r="C30" s="320">
        <f>'General 0'!D88</f>
        <v>0</v>
      </c>
      <c r="J30" s="102"/>
    </row>
    <row r="31" spans="2:10">
      <c r="B31" s="166" t="str">
        <f>Language!A64</f>
        <v>Gradient Strip (e.g., Etest/Liofilchem)</v>
      </c>
      <c r="C31" s="320">
        <f>'General 0'!D89</f>
        <v>0</v>
      </c>
      <c r="J31" s="102"/>
    </row>
    <row r="32" spans="2:10">
      <c r="B32" s="166" t="str">
        <f>Language!A65</f>
        <v>Broth microdilution (96-well tray)</v>
      </c>
      <c r="C32" s="320">
        <f>'General 0'!D90</f>
        <v>0</v>
      </c>
      <c r="J32" s="102"/>
    </row>
    <row r="33" spans="2:10">
      <c r="B33" s="166" t="str">
        <f>Language!A66</f>
        <v>Broth macrodilultion (tube method)</v>
      </c>
      <c r="C33" s="320">
        <f>'General 0'!D91</f>
        <v>0</v>
      </c>
      <c r="J33" s="102"/>
    </row>
    <row r="34" spans="2:10">
      <c r="B34" s="166" t="str">
        <f>Language!A67</f>
        <v>Agar dilution</v>
      </c>
      <c r="C34" s="320">
        <f>'General 0'!D92</f>
        <v>0</v>
      </c>
      <c r="J34" s="102"/>
    </row>
    <row r="35" spans="2:10">
      <c r="B35" s="28"/>
      <c r="J35" s="102"/>
    </row>
    <row r="36" spans="2:10">
      <c r="B36" s="34" t="str">
        <f>Language!A68</f>
        <v>STAFFING</v>
      </c>
      <c r="C36" s="44"/>
    </row>
    <row r="37" spans="2:10" ht="27.6" customHeight="1">
      <c r="B37" s="447" t="str">
        <f>Language!A80</f>
        <v>Proportion of staff with Med Micro or Med Lab Training</v>
      </c>
      <c r="C37" s="364" t="e">
        <f>'General 0'!C136</f>
        <v>#DIV/0!</v>
      </c>
      <c r="E37" s="650" t="s">
        <v>6540</v>
      </c>
      <c r="F37" s="650"/>
      <c r="G37" s="359"/>
    </row>
    <row r="38" spans="2:10">
      <c r="B38" s="447" t="str">
        <f>Language!A81</f>
        <v>Proportion of staff with Graduate Bachelor's Degree or more</v>
      </c>
      <c r="C38" s="364" t="e">
        <f>'General 0'!C140</f>
        <v>#DIV/0!</v>
      </c>
      <c r="E38" s="646" t="str">
        <f>Language!A404</f>
        <v>ESBLs</v>
      </c>
      <c r="F38" s="647"/>
      <c r="G38" s="360">
        <f>'General 0'!C112</f>
        <v>0</v>
      </c>
    </row>
    <row r="39" spans="2:10">
      <c r="B39" s="131" t="str">
        <f>Language!A82</f>
        <v>Total number of staff members</v>
      </c>
      <c r="C39" s="365">
        <f>SUM('General 0'!D121:D131)</f>
        <v>0</v>
      </c>
      <c r="E39" s="646" t="str">
        <f>Language!A405</f>
        <v>Carbapenemases</v>
      </c>
      <c r="F39" s="647"/>
      <c r="G39" s="360">
        <f>'General 0'!C113</f>
        <v>0</v>
      </c>
    </row>
    <row r="40" spans="2:10">
      <c r="B40" s="28"/>
      <c r="E40" s="646" t="str">
        <f>Language!A406</f>
        <v xml:space="preserve">mecA </v>
      </c>
      <c r="F40" s="647"/>
      <c r="G40" s="360">
        <f>'General 0'!C114</f>
        <v>0</v>
      </c>
    </row>
    <row r="41" spans="2:10">
      <c r="B41" s="333" t="str">
        <f>Language!A83</f>
        <v>NUMBER OF FLAGS</v>
      </c>
      <c r="C41" s="321"/>
      <c r="E41" s="646" t="str">
        <f>Language!A407</f>
        <v>vanA/vanB</v>
      </c>
      <c r="F41" s="647"/>
      <c r="G41" s="360">
        <f>'General 0'!C115</f>
        <v>0</v>
      </c>
    </row>
    <row r="42" spans="2:10">
      <c r="B42" s="448" t="str">
        <f>Language!A84</f>
        <v>Red Flags</v>
      </c>
      <c r="C42" s="88">
        <f>Flags!E116</f>
        <v>0</v>
      </c>
      <c r="E42" s="646" t="str">
        <f>Language!A408</f>
        <v>mcr-1</v>
      </c>
      <c r="F42" s="647"/>
      <c r="G42" s="360">
        <f>'General 0'!C116</f>
        <v>0</v>
      </c>
    </row>
    <row r="43" spans="2:10">
      <c r="B43" s="448" t="str">
        <f>Language!A85</f>
        <v>Training Opportunities</v>
      </c>
      <c r="C43" s="88">
        <f>Flags!E130</f>
        <v>0</v>
      </c>
      <c r="E43" s="646">
        <f>'General 0'!E108:G108</f>
        <v>0</v>
      </c>
      <c r="F43" s="647"/>
      <c r="G43" s="360">
        <f>'General 0'!C117</f>
        <v>0</v>
      </c>
    </row>
    <row r="44" spans="2:10">
      <c r="B44" s="448" t="str">
        <f>Language!A86</f>
        <v>System Flags</v>
      </c>
      <c r="C44" s="88">
        <f>Flags!E159</f>
        <v>0</v>
      </c>
    </row>
    <row r="45" spans="2:10">
      <c r="B45" s="551"/>
      <c r="C45" s="458"/>
    </row>
    <row r="46" spans="2:10">
      <c r="B46" s="28"/>
    </row>
    <row r="47" spans="2:10">
      <c r="B47" s="456" t="str">
        <f>Language!A87</f>
        <v>Overall Score and Module Score Summary</v>
      </c>
      <c r="C47" s="457" t="str">
        <f>IF(COUNT(C48,C50:C61)=0,"???",AVERAGE(C48,C50:C61))</f>
        <v>???</v>
      </c>
    </row>
    <row r="48" spans="2:10">
      <c r="B48" s="55" t="str">
        <f>Language!A102</f>
        <v>1- FACILITY</v>
      </c>
      <c r="C48" s="459" t="str">
        <f>C63</f>
        <v>???</v>
      </c>
    </row>
    <row r="49" spans="2:8" ht="27.6" customHeight="1">
      <c r="B49" s="460" t="str">
        <f>Language!A89</f>
        <v>2- LAB INFORMATION SYSTEM (Excluded from overall score)</v>
      </c>
      <c r="C49" s="461" t="str">
        <f>C76</f>
        <v>???</v>
      </c>
      <c r="G49" s="62"/>
    </row>
    <row r="50" spans="2:8">
      <c r="B50" s="55" t="str">
        <f>Language!A121</f>
        <v>3- DATA MANAGEMENT</v>
      </c>
      <c r="C50" s="459" t="str">
        <f>C84</f>
        <v>???</v>
      </c>
      <c r="G50" s="62"/>
    </row>
    <row r="51" spans="2:8">
      <c r="B51" s="55" t="str">
        <f>Language!A129</f>
        <v>4- QUALITY ASSURANCE</v>
      </c>
      <c r="C51" s="459" t="str">
        <f>C93</f>
        <v>???</v>
      </c>
      <c r="G51" s="62"/>
    </row>
    <row r="52" spans="2:8">
      <c r="B52" s="460" t="str">
        <f>Language!A134</f>
        <v xml:space="preserve">5- QUALITY CONTROL - MEDIA </v>
      </c>
      <c r="C52" s="461" t="str">
        <f>C99</f>
        <v>???</v>
      </c>
      <c r="G52" s="62"/>
    </row>
    <row r="53" spans="2:8">
      <c r="B53" s="460" t="str">
        <f>Language!A141</f>
        <v>6- QUALITY CONTROL - IDENTIFICATION</v>
      </c>
      <c r="C53" s="461" t="str">
        <f>C107</f>
        <v>???</v>
      </c>
      <c r="G53" s="62"/>
    </row>
    <row r="54" spans="2:8">
      <c r="B54" s="460" t="str">
        <f>Language!A150</f>
        <v>7- QUALITY CONTROL - AST</v>
      </c>
      <c r="C54" s="461" t="str">
        <f>C117</f>
        <v>???</v>
      </c>
      <c r="D54" s="150"/>
      <c r="E54" s="150"/>
      <c r="F54" s="150"/>
      <c r="G54" s="150"/>
      <c r="H54" s="150"/>
    </row>
    <row r="55" spans="2:8">
      <c r="B55" s="460" t="str">
        <f>Language!A156</f>
        <v>8- SPECIMEN COLLECTION, TRANSPORT &amp; MANAGEMENT</v>
      </c>
      <c r="C55" s="461" t="str">
        <f>C124</f>
        <v>???</v>
      </c>
      <c r="D55" s="150"/>
      <c r="E55" s="150"/>
      <c r="F55" s="150"/>
      <c r="G55" s="150"/>
      <c r="H55" s="150"/>
    </row>
    <row r="56" spans="2:8">
      <c r="B56" s="460" t="str">
        <f>Language!A162</f>
        <v>9- PROCESSING</v>
      </c>
      <c r="C56" s="461" t="str">
        <f>C131</f>
        <v>???</v>
      </c>
      <c r="D56" s="150"/>
      <c r="E56" s="150"/>
      <c r="F56" s="150"/>
      <c r="G56" s="150"/>
      <c r="H56" s="150"/>
    </row>
    <row r="57" spans="2:8">
      <c r="B57" s="460" t="str">
        <f>Language!A167</f>
        <v>10- IDENTIFICATION METHODS &amp; SOPs</v>
      </c>
      <c r="C57" s="461" t="str">
        <f>C137</f>
        <v>???</v>
      </c>
      <c r="D57" s="150"/>
      <c r="E57" s="150"/>
      <c r="F57" s="150"/>
      <c r="G57" s="150"/>
      <c r="H57" s="150"/>
    </row>
    <row r="58" spans="2:8">
      <c r="B58" s="460" t="str">
        <f>Language!A183</f>
        <v>11- BASIC AST</v>
      </c>
      <c r="C58" s="461" t="str">
        <f>C154</f>
        <v>???</v>
      </c>
      <c r="D58" s="150"/>
      <c r="E58" s="150"/>
      <c r="F58" s="150"/>
      <c r="G58" s="150"/>
      <c r="H58" s="150"/>
    </row>
    <row r="59" spans="2:8">
      <c r="B59" s="460" t="str">
        <f>Language!A190</f>
        <v>12- AST EXPERT RULES</v>
      </c>
      <c r="C59" s="461" t="str">
        <f>C162</f>
        <v>???</v>
      </c>
      <c r="D59" s="150"/>
      <c r="E59" s="150"/>
      <c r="F59" s="150"/>
      <c r="G59" s="150"/>
      <c r="H59" s="150"/>
    </row>
    <row r="60" spans="2:8">
      <c r="B60" s="460" t="str">
        <f>Language!A201</f>
        <v>13- AST PANELS, POLICY AND ANALYSIS</v>
      </c>
      <c r="C60" s="461" t="str">
        <f>C174</f>
        <v>???</v>
      </c>
      <c r="D60" s="150"/>
      <c r="E60" s="150"/>
      <c r="F60" s="150"/>
      <c r="G60" s="150"/>
      <c r="H60" s="150"/>
    </row>
    <row r="61" spans="2:8">
      <c r="B61" s="55" t="str">
        <f>Language!A205</f>
        <v>SAFETY</v>
      </c>
      <c r="C61" s="459" t="str">
        <f>C179</f>
        <v>???</v>
      </c>
      <c r="D61" s="150"/>
      <c r="E61" s="150"/>
      <c r="F61" s="150"/>
      <c r="G61" s="150"/>
      <c r="H61" s="150"/>
    </row>
    <row r="62" spans="2:8">
      <c r="B62" s="28"/>
      <c r="D62" s="150"/>
      <c r="E62" s="150"/>
      <c r="F62" s="150"/>
      <c r="G62" s="150"/>
      <c r="H62" s="150"/>
    </row>
    <row r="63" spans="2:8">
      <c r="B63" s="456" t="str">
        <f>Language!A102</f>
        <v>1- FACILITY</v>
      </c>
      <c r="C63" s="457" t="str">
        <f>'Facility 1'!C1</f>
        <v>???</v>
      </c>
    </row>
    <row r="64" spans="2:8">
      <c r="B64" s="8" t="str">
        <f>Language!A103</f>
        <v>LABORATORY FACILITY</v>
      </c>
      <c r="C64" s="322" t="str">
        <f>'Facility 1'!C3</f>
        <v>???</v>
      </c>
    </row>
    <row r="65" spans="2:10">
      <c r="B65" s="8" t="str">
        <f>Language!A104</f>
        <v>GENERAL EQUIPMENT AVAILABILITY</v>
      </c>
      <c r="C65" s="322" t="str">
        <f>'Facility 1'!C20</f>
        <v>???</v>
      </c>
    </row>
    <row r="66" spans="2:10" ht="27.6" customHeight="1">
      <c r="B66" s="8" t="str">
        <f>Language!A105</f>
        <v>MEDIA PREPARATION EQUIPMENT AVAILABILITY</v>
      </c>
      <c r="C66" s="322" t="str">
        <f>'Facility 1'!C43</f>
        <v>???</v>
      </c>
    </row>
    <row r="67" spans="2:10">
      <c r="B67" s="8" t="str">
        <f>Language!A106</f>
        <v>EQUIPMENT CALIBRATION  RECORDS</v>
      </c>
      <c r="C67" s="322" t="str">
        <f>'Facility 1'!C53</f>
        <v>???</v>
      </c>
      <c r="J67" s="62"/>
    </row>
    <row r="68" spans="2:10">
      <c r="B68" s="8" t="str">
        <f>Language!A107</f>
        <v>THERMOMETERS</v>
      </c>
      <c r="C68" s="322" t="str">
        <f>'Facility 1'!C67</f>
        <v>???</v>
      </c>
      <c r="J68" s="62"/>
    </row>
    <row r="69" spans="2:10">
      <c r="B69" s="8" t="str">
        <f>Language!A108</f>
        <v>TEMPERATURE AND ATMOSPHERE MONITORING</v>
      </c>
      <c r="C69" s="322" t="str">
        <f>'Facility 1'!C78</f>
        <v>???</v>
      </c>
      <c r="J69" s="62"/>
    </row>
    <row r="70" spans="2:10">
      <c r="B70" s="449" t="str">
        <f>Language!A109</f>
        <v>Temperature recorded</v>
      </c>
      <c r="C70" s="323" t="e">
        <f>'Facility 1'!C79</f>
        <v>#DIV/0!</v>
      </c>
      <c r="J70" s="62"/>
    </row>
    <row r="71" spans="2:10">
      <c r="B71" s="449" t="str">
        <f>Language!A110</f>
        <v>Ranges defined</v>
      </c>
      <c r="C71" s="323" t="e">
        <f>'Facility 1'!C80</f>
        <v>#DIV/0!</v>
      </c>
      <c r="J71" s="62"/>
    </row>
    <row r="72" spans="2:10">
      <c r="B72" s="8" t="str">
        <f>Language!A111</f>
        <v>AUTOCLAVE MANAGEMENT</v>
      </c>
      <c r="C72" s="322" t="str">
        <f>'Facility 1'!C111</f>
        <v>???</v>
      </c>
      <c r="J72" s="62"/>
    </row>
    <row r="73" spans="2:10" ht="27.6" customHeight="1">
      <c r="B73" s="8" t="str">
        <f>Language!A112</f>
        <v>AUTOMATED EQUIPMENT AVAILABILITY AND MAINTENANCE</v>
      </c>
      <c r="C73" s="324" t="str">
        <f>'Facility 1'!C119</f>
        <v>???</v>
      </c>
    </row>
    <row r="74" spans="2:10">
      <c r="B74" s="8" t="str">
        <f>Language!A113</f>
        <v>INVENTORY &amp; STOCK OUTS</v>
      </c>
      <c r="C74" s="325" t="str">
        <f>'Facility 1'!C158</f>
        <v>???</v>
      </c>
    </row>
    <row r="75" spans="2:10">
      <c r="B75" s="8"/>
      <c r="C75" s="325"/>
    </row>
    <row r="76" spans="2:10">
      <c r="B76" s="456" t="str">
        <f>Language!A114</f>
        <v>2- LAB INFORMATION SYSTEM</v>
      </c>
      <c r="C76" s="457" t="str">
        <f>'LIS 2'!C1</f>
        <v>???</v>
      </c>
    </row>
    <row r="77" spans="2:10">
      <c r="B77" s="8" t="str">
        <f>Language!A115</f>
        <v>DEMOGRAPHIC DATA FIELDS</v>
      </c>
      <c r="C77" s="325" t="str">
        <f>'LIS 2'!C5</f>
        <v>???</v>
      </c>
    </row>
    <row r="78" spans="2:10">
      <c r="B78" s="8" t="str">
        <f>Language!A116</f>
        <v>SPECIMEN DATA FIELDS</v>
      </c>
      <c r="C78" s="325" t="str">
        <f>'LIS 2'!C18</f>
        <v>???</v>
      </c>
    </row>
    <row r="79" spans="2:10">
      <c r="B79" s="8" t="str">
        <f>Language!A117</f>
        <v>CULTURE OBSERVATION DATA FIELDS</v>
      </c>
      <c r="C79" s="325" t="str">
        <f>'LIS 2'!C29</f>
        <v>???</v>
      </c>
    </row>
    <row r="80" spans="2:10">
      <c r="B80" s="8" t="str">
        <f>Language!A118</f>
        <v>AST DATA FIELDS</v>
      </c>
      <c r="C80" s="325" t="str">
        <f>'LIS 2'!C43</f>
        <v>???</v>
      </c>
    </row>
    <row r="81" spans="2:3">
      <c r="B81" s="8" t="str">
        <f>Language!A119</f>
        <v>REPORTS AND DATA TRANSFER CAPABILITIES</v>
      </c>
      <c r="C81" s="325" t="str">
        <f>'LIS 2'!C57</f>
        <v>???</v>
      </c>
    </row>
    <row r="82" spans="2:3">
      <c r="B82" s="8" t="str">
        <f>Language!A120</f>
        <v>INTERFACE CONNECTIVITY</v>
      </c>
      <c r="C82" s="325" t="str">
        <f>'LIS 2'!C65</f>
        <v>???</v>
      </c>
    </row>
    <row r="83" spans="2:3">
      <c r="B83" s="8"/>
      <c r="C83" s="325"/>
    </row>
    <row r="84" spans="2:3">
      <c r="B84" s="456" t="str">
        <f>Language!A121</f>
        <v>3- DATA MANAGEMENT</v>
      </c>
      <c r="C84" s="457" t="str">
        <f>'Data Mgmt 3'!C1</f>
        <v>???</v>
      </c>
    </row>
    <row r="85" spans="2:3">
      <c r="B85" s="8" t="str">
        <f>Language!A122</f>
        <v>PATIENT AND SPECIMEN IDENTIFICATION</v>
      </c>
      <c r="C85" s="325" t="str">
        <f>'Data Mgmt 3'!C4</f>
        <v>???</v>
      </c>
    </row>
    <row r="86" spans="2:3">
      <c r="B86" s="8" t="str">
        <f>Language!A123</f>
        <v>SPECIMEN REQUISITION FORM</v>
      </c>
      <c r="C86" s="325" t="str">
        <f>'Data Mgmt 3'!C13</f>
        <v>???</v>
      </c>
    </row>
    <row r="87" spans="2:3">
      <c r="B87" s="8" t="str">
        <f>Language!A124</f>
        <v>ORDER ENTRY</v>
      </c>
      <c r="C87" s="325" t="str">
        <f>'Data Mgmt 3'!C27</f>
        <v>???</v>
      </c>
    </row>
    <row r="88" spans="2:3">
      <c r="B88" s="8" t="str">
        <f>Language!A125</f>
        <v>CULTURE OBSERVATIONS</v>
      </c>
      <c r="C88" s="325" t="str">
        <f>'Data Mgmt 3'!C43</f>
        <v>???</v>
      </c>
    </row>
    <row r="89" spans="2:3">
      <c r="B89" s="8" t="str">
        <f>Language!A126</f>
        <v>AST RESULTS REPORTING</v>
      </c>
      <c r="C89" s="325" t="str">
        <f>'Data Mgmt 3'!C68</f>
        <v>???</v>
      </c>
    </row>
    <row r="90" spans="2:3">
      <c r="B90" s="8" t="str">
        <f>Language!A127</f>
        <v>DATA BACKUP &amp; SECURITY</v>
      </c>
      <c r="C90" s="325" t="str">
        <f>'Data Mgmt 3'!C80</f>
        <v>???</v>
      </c>
    </row>
    <row r="91" spans="2:3">
      <c r="B91" s="8" t="str">
        <f>Language!A128</f>
        <v xml:space="preserve">AMR DATA SHARING </v>
      </c>
      <c r="C91" s="325" t="str">
        <f>'Data Mgmt 3'!C90</f>
        <v>???</v>
      </c>
    </row>
    <row r="92" spans="2:3">
      <c r="B92" s="8"/>
      <c r="C92" s="325"/>
    </row>
    <row r="93" spans="2:3">
      <c r="B93" s="456" t="str">
        <f>Language!A129</f>
        <v>4- QUALITY ASSURANCE</v>
      </c>
      <c r="C93" s="457" t="str">
        <f>'QA 4'!C1</f>
        <v>???</v>
      </c>
    </row>
    <row r="94" spans="2:3">
      <c r="B94" s="8" t="str">
        <f>Language!A130</f>
        <v>QUALITY STRUCTURE/BASICS</v>
      </c>
      <c r="C94" s="325" t="str">
        <f>'QA 4'!C2</f>
        <v>???</v>
      </c>
    </row>
    <row r="95" spans="2:3" ht="27.6" customHeight="1">
      <c r="B95" s="8" t="str">
        <f>Language!A131</f>
        <v>LABORATORY STAFF EDUCATION/TRAINING/COMPETENCY</v>
      </c>
      <c r="C95" s="325" t="str">
        <f>'QA 4'!C21</f>
        <v>???</v>
      </c>
    </row>
    <row r="96" spans="2:3" ht="27.6">
      <c r="B96" s="8" t="str">
        <f>Language!A132</f>
        <v>TOUBLESHOOTING, PROBLEM SOLVING, AND ROOT CAUSE ANALYSES</v>
      </c>
      <c r="C96" s="325" t="str">
        <f>'QA 4'!C36</f>
        <v>???</v>
      </c>
    </row>
    <row r="97" spans="2:6">
      <c r="B97" s="8" t="str">
        <f>Language!A133</f>
        <v>EXTERNAL QUALITY ASSESSMENT (EQA)</v>
      </c>
      <c r="C97" s="325" t="str">
        <f>'QA 4'!C46</f>
        <v>???</v>
      </c>
    </row>
    <row r="98" spans="2:6">
      <c r="B98" s="8"/>
      <c r="C98" s="325"/>
    </row>
    <row r="99" spans="2:6">
      <c r="B99" s="456" t="str">
        <f>Language!A134</f>
        <v xml:space="preserve">5- QUALITY CONTROL - MEDIA </v>
      </c>
      <c r="C99" s="457" t="str">
        <f>'Media QC 5'!C1</f>
        <v>???</v>
      </c>
    </row>
    <row r="100" spans="2:6">
      <c r="B100" s="8" t="str">
        <f>Language!A135</f>
        <v>MEDIA PREPARATION SOPs</v>
      </c>
      <c r="C100" s="325" t="str">
        <f>'Media QC 5'!C3</f>
        <v>???</v>
      </c>
    </row>
    <row r="101" spans="2:6">
      <c r="B101" s="8" t="str">
        <f>Language!A136</f>
        <v xml:space="preserve">GENERAL MEDIA PREPARATION </v>
      </c>
      <c r="C101" s="325" t="str">
        <f>'Media QC 5'!C18</f>
        <v>???</v>
      </c>
    </row>
    <row r="102" spans="2:6">
      <c r="B102" s="8" t="str">
        <f>Language!A137</f>
        <v xml:space="preserve">DISTILLED/DEIONIZED WATER PREPARATION </v>
      </c>
      <c r="C102" s="325" t="str">
        <f>'Media QC 5'!C30</f>
        <v>???</v>
      </c>
    </row>
    <row r="103" spans="2:6">
      <c r="B103" s="8" t="str">
        <f>Language!A138</f>
        <v>ROUTINE MEDIA QC</v>
      </c>
      <c r="C103" s="325" t="str">
        <f>'Media QC 5'!C36</f>
        <v>???</v>
      </c>
    </row>
    <row r="104" spans="2:6">
      <c r="B104" s="8" t="str">
        <f>Language!A139</f>
        <v>MULLER HINTON MEDIA PREPARATION AND QC</v>
      </c>
      <c r="C104" s="325" t="str">
        <f>'Media QC 5'!C51</f>
        <v>???</v>
      </c>
    </row>
    <row r="105" spans="2:6">
      <c r="B105" s="8" t="str">
        <f>Language!A140</f>
        <v>BLOOD CULTURE BOTTLES PREPARATION AND QC</v>
      </c>
      <c r="C105" s="325" t="str">
        <f>'Media QC 5'!C68</f>
        <v>???</v>
      </c>
    </row>
    <row r="106" spans="2:6">
      <c r="B106" s="8"/>
      <c r="C106" s="325"/>
    </row>
    <row r="107" spans="2:6">
      <c r="B107" s="456" t="str">
        <f>Language!A141</f>
        <v>6- QUALITY CONTROL - IDENTIFICATION</v>
      </c>
      <c r="C107" s="457" t="str">
        <f>'ID QC 6'!C1</f>
        <v>???</v>
      </c>
    </row>
    <row r="108" spans="2:6" ht="27.6" customHeight="1">
      <c r="B108" s="8" t="str">
        <f>Language!A142</f>
        <v>GRAM STAIN QC and REAGENT LABELING AND STORAGE</v>
      </c>
      <c r="C108" s="325" t="str">
        <f>'ID QC 6'!C3</f>
        <v>???</v>
      </c>
    </row>
    <row r="109" spans="2:6">
      <c r="B109" s="8" t="str">
        <f>Language!A143</f>
        <v>QC OF INDIVIDUAL BIOCHEMICAL METHODS</v>
      </c>
      <c r="C109" s="325" t="str">
        <f>'ID QC 6'!C16</f>
        <v>???</v>
      </c>
    </row>
    <row r="110" spans="2:6">
      <c r="B110" s="449" t="str">
        <f>Language!A144</f>
        <v>Positive controls are in use</v>
      </c>
      <c r="C110" s="325" t="str">
        <f>'ID QC 6'!C17</f>
        <v>???</v>
      </c>
    </row>
    <row r="111" spans="2:6">
      <c r="B111" s="449" t="str">
        <f>Language!A145</f>
        <v>Negative controls are in use</v>
      </c>
      <c r="C111" s="325" t="str">
        <f>'ID QC 6'!C18</f>
        <v>???</v>
      </c>
    </row>
    <row r="112" spans="2:6">
      <c r="B112" s="449" t="str">
        <f>Language!A146</f>
        <v>QC is performed on each new batch/lot number</v>
      </c>
      <c r="C112" s="325" t="str">
        <f>'ID QC 6'!C19</f>
        <v>???</v>
      </c>
      <c r="F112" s="5"/>
    </row>
    <row r="113" spans="2:6" ht="27.6" customHeight="1">
      <c r="B113" s="449" t="str">
        <f>Language!A147</f>
        <v>QC is performed using ATCC or ATCC-derivative strains</v>
      </c>
      <c r="C113" s="325" t="str">
        <f>'ID QC 6'!C20</f>
        <v>???</v>
      </c>
    </row>
    <row r="114" spans="2:6">
      <c r="B114" s="8" t="str">
        <f>Language!A148</f>
        <v>QC OF ENTERIC SEROLOGY</v>
      </c>
      <c r="C114" s="325" t="str">
        <f>'ID QC 6'!C138</f>
        <v>???</v>
      </c>
    </row>
    <row r="115" spans="2:6">
      <c r="B115" s="8" t="str">
        <f>Language!A149</f>
        <v>QC OF COMMERCIAL ID KITS and AUTOMATED ID SYSTEMS</v>
      </c>
      <c r="C115" s="325" t="str">
        <f>'ID QC 6'!C152</f>
        <v>???</v>
      </c>
    </row>
    <row r="116" spans="2:6">
      <c r="B116" s="8"/>
      <c r="C116" s="325"/>
    </row>
    <row r="117" spans="2:6">
      <c r="B117" s="456" t="str">
        <f>Language!A150</f>
        <v>7- QUALITY CONTROL - AST</v>
      </c>
      <c r="C117" s="457" t="str">
        <f>'AST QC 7'!C1</f>
        <v>???</v>
      </c>
    </row>
    <row r="118" spans="2:6">
      <c r="B118" s="8" t="str">
        <f>Language!A151</f>
        <v>ROUTINE AST REFERENCE STRAINS</v>
      </c>
      <c r="C118" s="325" t="str">
        <f>'AST QC 7'!C3</f>
        <v>???</v>
      </c>
    </row>
    <row r="119" spans="2:6">
      <c r="B119" s="8" t="str">
        <f>Language!A152</f>
        <v>SPECIAL AST REFERENCE STRAINS</v>
      </c>
      <c r="C119" s="325" t="str">
        <f>'AST QC 7'!C19</f>
        <v>???</v>
      </c>
    </row>
    <row r="120" spans="2:6">
      <c r="B120" s="8" t="str">
        <f>Language!A153</f>
        <v>QC OF DISC DIFFUSION AST METHODS</v>
      </c>
      <c r="C120" s="325" t="str">
        <f>'AST QC 7'!C33</f>
        <v>???</v>
      </c>
      <c r="F120" s="5"/>
    </row>
    <row r="121" spans="2:6">
      <c r="B121" s="8" t="str">
        <f>Language!A154</f>
        <v>QC OF GRADIENT STRIP AST METHODS</v>
      </c>
      <c r="C121" s="325" t="str">
        <f>'AST QC 7'!C50</f>
        <v>???</v>
      </c>
      <c r="F121" s="5"/>
    </row>
    <row r="122" spans="2:6">
      <c r="B122" s="8" t="str">
        <f>Language!A155</f>
        <v>QC OF AUTOMATED AST SYSTEMS</v>
      </c>
      <c r="C122" s="325" t="str">
        <f>'AST QC 7'!C64</f>
        <v>???</v>
      </c>
    </row>
    <row r="123" spans="2:6">
      <c r="B123" s="8"/>
      <c r="C123" s="325"/>
    </row>
    <row r="124" spans="2:6" ht="28.95" customHeight="1">
      <c r="B124" s="456" t="str">
        <f>Language!A156</f>
        <v>8- SPECIMEN COLLECTION, TRANSPORT &amp; MANAGEMENT</v>
      </c>
      <c r="C124" s="457" t="str">
        <f>'Specimen 8'!C1</f>
        <v>???</v>
      </c>
    </row>
    <row r="125" spans="2:6">
      <c r="B125" s="8" t="str">
        <f>Language!A157</f>
        <v>SPECIMEN MANAGEMENT</v>
      </c>
      <c r="C125" s="325" t="str">
        <f>'Specimen 8'!C3</f>
        <v>???</v>
      </c>
    </row>
    <row r="126" spans="2:6">
      <c r="B126" s="8" t="str">
        <f>Language!A158</f>
        <v>SPECIMEN REJECTION</v>
      </c>
      <c r="C126" s="325" t="str">
        <f>'Specimen 8'!C19</f>
        <v>???</v>
      </c>
    </row>
    <row r="127" spans="2:6">
      <c r="B127" s="8" t="str">
        <f>Language!A159</f>
        <v>BLOOD SPECIMEN COLLECTION and TRANSPORT</v>
      </c>
      <c r="C127" s="325" t="str">
        <f>'Specimen 8'!C38</f>
        <v>???</v>
      </c>
    </row>
    <row r="128" spans="2:6">
      <c r="B128" s="8" t="str">
        <f>Language!A160</f>
        <v>URINE SPECIMEN COLLECTION and TRANSPORT</v>
      </c>
      <c r="C128" s="325" t="str">
        <f>'Specimen 8'!C54</f>
        <v>???</v>
      </c>
    </row>
    <row r="129" spans="2:3">
      <c r="B129" s="8" t="str">
        <f>Language!A161</f>
        <v>STOOL SPECIMEN COLLECTION and TRANSPORT</v>
      </c>
      <c r="C129" s="325" t="str">
        <f>'Specimen 8'!C65</f>
        <v>???</v>
      </c>
    </row>
    <row r="130" spans="2:3">
      <c r="B130" s="8"/>
      <c r="C130" s="325"/>
    </row>
    <row r="131" spans="2:3">
      <c r="B131" s="456" t="str">
        <f>Language!A162</f>
        <v>9- PROCESSING</v>
      </c>
      <c r="C131" s="457" t="str">
        <f>'Processing 9'!C1</f>
        <v>???</v>
      </c>
    </row>
    <row r="132" spans="2:3">
      <c r="B132" s="8" t="str">
        <f>Language!A163</f>
        <v>BLOOD CULTURE PROCESSING</v>
      </c>
      <c r="C132" s="325" t="str">
        <f>'Processing 9'!C3</f>
        <v>???</v>
      </c>
    </row>
    <row r="133" spans="2:3">
      <c r="B133" s="8" t="str">
        <f>Language!A164</f>
        <v>MANUAL BLOOD CULTURE SYSTEMS</v>
      </c>
      <c r="C133" s="325" t="str">
        <f>'Processing 9'!C16</f>
        <v>???</v>
      </c>
    </row>
    <row r="134" spans="2:3">
      <c r="B134" s="8" t="str">
        <f>Language!A165</f>
        <v>URINE CULTURE</v>
      </c>
      <c r="C134" s="325" t="str">
        <f>'Processing 9'!C24</f>
        <v>???</v>
      </c>
    </row>
    <row r="135" spans="2:3">
      <c r="B135" s="8" t="str">
        <f>Language!A166</f>
        <v>STOOL CULTURE for Salmonella and Shigella</v>
      </c>
      <c r="C135" s="325" t="str">
        <f>'Processing 9'!C41</f>
        <v>???</v>
      </c>
    </row>
    <row r="136" spans="2:3">
      <c r="B136" s="8"/>
      <c r="C136" s="325"/>
    </row>
    <row r="137" spans="2:3">
      <c r="B137" s="456" t="str">
        <f>Language!A167</f>
        <v>10- IDENTIFICATION METHODS &amp; SOPs</v>
      </c>
      <c r="C137" s="457" t="str">
        <f>'Identification 10'!C1</f>
        <v>???</v>
      </c>
    </row>
    <row r="138" spans="2:3" ht="27.6" customHeight="1">
      <c r="B138" s="8" t="str">
        <f>Language!A168</f>
        <v>CONVENTIONAL ID METHODS - SOP SCORE SUMMARY</v>
      </c>
      <c r="C138" s="325" t="str">
        <f>'Identification 10'!C3</f>
        <v>???</v>
      </c>
    </row>
    <row r="139" spans="2:3">
      <c r="B139" s="450" t="str">
        <f>Language!A169</f>
        <v>Fully implemented*, up-to-date SOP</v>
      </c>
      <c r="C139" s="326" t="str">
        <f>'Identification 10'!C4</f>
        <v>???</v>
      </c>
    </row>
    <row r="140" spans="2:3" ht="27.6" customHeight="1">
      <c r="B140" s="450" t="str">
        <f>Language!A170</f>
        <v>SOP is readily available** to bench staff</v>
      </c>
      <c r="C140" s="326" t="str">
        <f>'Identification 10'!C5</f>
        <v>???</v>
      </c>
    </row>
    <row r="141" spans="2:3" ht="27.6" customHeight="1">
      <c r="B141" s="318" t="str">
        <f>Language!A171</f>
        <v>SOP defines QC organisms, frequency, and expected results</v>
      </c>
      <c r="C141" s="326" t="str">
        <f>'Identification 10'!C6</f>
        <v>???</v>
      </c>
    </row>
    <row r="142" spans="2:3" ht="27.6" customHeight="1">
      <c r="B142" s="318" t="str">
        <f>Language!A172</f>
        <v>SOP provides stepwise instructions for test performance</v>
      </c>
      <c r="C142" s="326" t="str">
        <f>'Identification 10'!C7</f>
        <v>???</v>
      </c>
    </row>
    <row r="143" spans="2:3" ht="27.6" customHeight="1">
      <c r="B143" s="318" t="str">
        <f>Language!A173</f>
        <v>SOP provides stepwise instructions for test interpretation</v>
      </c>
      <c r="C143" s="326" t="str">
        <f>'Identification 10'!C8</f>
        <v>???</v>
      </c>
    </row>
    <row r="144" spans="2:3" ht="27.6" customHeight="1">
      <c r="B144" s="20" t="str">
        <f>Language!A174</f>
        <v>STAPHYLOCOCCUS AUREUS, KEY ID METHODS</v>
      </c>
      <c r="C144" s="325" t="str">
        <f>'Identification 10'!C10</f>
        <v>???</v>
      </c>
    </row>
    <row r="145" spans="2:3" ht="27.6" customHeight="1">
      <c r="B145" s="20" t="str">
        <f>Language!A175</f>
        <v>STAPHYLOCOCCUS AUREUS, OTHER ID METHODS</v>
      </c>
      <c r="C145" s="325" t="str">
        <f>'Identification 10'!C32</f>
        <v>???</v>
      </c>
    </row>
    <row r="146" spans="2:3" ht="27.6" customHeight="1">
      <c r="B146" s="20" t="str">
        <f>Language!A176</f>
        <v>STREPTOCOCCUS PNEUMONIAE, CONVENTIONAL ID METHODS</v>
      </c>
      <c r="C146" s="325" t="str">
        <f>'Identification 10'!C57</f>
        <v>???</v>
      </c>
    </row>
    <row r="147" spans="2:3" ht="27.6" customHeight="1">
      <c r="B147" s="20" t="str">
        <f>Language!A177</f>
        <v>ENTEROBACTERIACEAE, CONVENTIONAL ID METHODS</v>
      </c>
      <c r="C147" s="325" t="str">
        <f>'Identification 10'!C87</f>
        <v>???</v>
      </c>
    </row>
    <row r="148" spans="2:3">
      <c r="B148" s="20" t="str">
        <f>Language!A178</f>
        <v>SHIGELLA/SALMONELLA SEROLOGY</v>
      </c>
      <c r="C148" s="325" t="str">
        <f>'Identification 10'!C152</f>
        <v>???</v>
      </c>
    </row>
    <row r="149" spans="2:3" ht="27.6" customHeight="1">
      <c r="B149" s="20" t="str">
        <f>Language!A179</f>
        <v>ACINETOBACTER SPP, CONVENTIONAL ID METHODS</v>
      </c>
      <c r="C149" s="325" t="str">
        <f>'Identification 10'!C168</f>
        <v>???</v>
      </c>
    </row>
    <row r="150" spans="2:3">
      <c r="B150" s="8" t="str">
        <f>Language!A180</f>
        <v>KIT-BASED ID METHODS</v>
      </c>
      <c r="C150" s="325" t="str">
        <f>'Identification 10'!C205</f>
        <v>???</v>
      </c>
    </row>
    <row r="151" spans="2:3">
      <c r="B151" s="8" t="str">
        <f>Language!A181</f>
        <v>AUTOMATED ID METHODS</v>
      </c>
      <c r="C151" s="325" t="str">
        <f>'Identification 10'!C220</f>
        <v>???</v>
      </c>
    </row>
    <row r="152" spans="2:3">
      <c r="B152" s="8" t="str">
        <f>Language!A182</f>
        <v>IDENTIFICATION FLOWCHARTS</v>
      </c>
      <c r="C152" s="325" t="str">
        <f>'Identification 10'!C234</f>
        <v>???</v>
      </c>
    </row>
    <row r="153" spans="2:3">
      <c r="B153" s="8"/>
      <c r="C153" s="325"/>
    </row>
    <row r="154" spans="2:3">
      <c r="B154" s="456" t="str">
        <f>Language!A183</f>
        <v>11- BASIC AST</v>
      </c>
      <c r="C154" s="457" t="str">
        <f>'Basic AST 11'!C1</f>
        <v>???</v>
      </c>
    </row>
    <row r="155" spans="2:3">
      <c r="B155" s="8" t="str">
        <f>Language!A184</f>
        <v>ANTIBIOTIC DISK AND GRADIENT STRIPS MAINTENANCE</v>
      </c>
      <c r="C155" s="325" t="str">
        <f>'Basic AST 11'!C3</f>
        <v>???</v>
      </c>
    </row>
    <row r="156" spans="2:3">
      <c r="B156" s="8" t="str">
        <f>Language!A185</f>
        <v>INOCULUM PREPARATION</v>
      </c>
      <c r="C156" s="325" t="str">
        <f>'Basic AST 11'!C15</f>
        <v>???</v>
      </c>
    </row>
    <row r="157" spans="2:3">
      <c r="B157" s="8" t="str">
        <f>Language!A186</f>
        <v>INOCULATION/INCUBATION</v>
      </c>
      <c r="C157" s="325" t="str">
        <f>'Basic AST 11'!C26</f>
        <v>???</v>
      </c>
    </row>
    <row r="158" spans="2:3">
      <c r="B158" s="8" t="str">
        <f>Language!A187</f>
        <v>READING AST RESULTS</v>
      </c>
      <c r="C158" s="325" t="str">
        <f>'Basic AST 11'!C47</f>
        <v>???</v>
      </c>
    </row>
    <row r="159" spans="2:3">
      <c r="B159" s="8" t="str">
        <f>Language!A188</f>
        <v>INTERPRETING RESULTS</v>
      </c>
      <c r="C159" s="325" t="str">
        <f>'Basic AST 11'!C64</f>
        <v>???</v>
      </c>
    </row>
    <row r="160" spans="2:3">
      <c r="B160" s="8" t="str">
        <f>Language!A189</f>
        <v>BREAKPOINTS STANDARDS</v>
      </c>
      <c r="C160" s="325" t="str">
        <f>'Basic AST 11'!C82</f>
        <v>???</v>
      </c>
    </row>
    <row r="161" spans="2:10">
      <c r="B161" s="8"/>
      <c r="C161" s="325"/>
    </row>
    <row r="162" spans="2:10">
      <c r="B162" s="456" t="str">
        <f>Language!A190</f>
        <v>12- AST EXPERT RULES</v>
      </c>
      <c r="C162" s="457" t="str">
        <f>'AST Expert rules 12'!C1</f>
        <v>???</v>
      </c>
      <c r="J162" s="157"/>
    </row>
    <row r="163" spans="2:10">
      <c r="B163" s="8" t="str">
        <f>Language!A191</f>
        <v>EXPERT RULES FOR SALMONELLA</v>
      </c>
      <c r="C163" s="325" t="str">
        <f>'AST Expert rules 12'!C3</f>
        <v>???</v>
      </c>
    </row>
    <row r="164" spans="2:10" ht="27.6" customHeight="1">
      <c r="B164" s="8" t="str">
        <f>Language!A192</f>
        <v>GRAM NEGATIVES &amp; BETA-LACTAM BREAKPOINTS</v>
      </c>
      <c r="C164" s="325" t="str">
        <f>'AST Expert rules 12'!C13</f>
        <v>???</v>
      </c>
    </row>
    <row r="165" spans="2:10">
      <c r="B165" s="8" t="str">
        <f>Language!A193</f>
        <v>PHENOTYPIC ESBL TESTING</v>
      </c>
      <c r="C165" s="325" t="str">
        <f>'AST Expert rules 12'!C41</f>
        <v>???</v>
      </c>
    </row>
    <row r="166" spans="2:10" ht="27.6" customHeight="1">
      <c r="B166" s="8" t="str">
        <f>Language!A194</f>
        <v>PHENOTYPIC CARBAPENEMASE TESTING</v>
      </c>
      <c r="C166" s="325" t="str">
        <f>'AST Expert rules 12'!C55</f>
        <v>???</v>
      </c>
    </row>
    <row r="167" spans="2:10">
      <c r="B167" s="8" t="str">
        <f>Language!A195</f>
        <v>COLISTIN TESTING</v>
      </c>
      <c r="C167" s="325" t="str">
        <f>'AST Expert rules 12'!C74</f>
        <v>???</v>
      </c>
    </row>
    <row r="168" spans="2:10">
      <c r="B168" s="8" t="str">
        <f>Language!A196</f>
        <v>EXPERT RULES FOR STAPH AUREUS</v>
      </c>
      <c r="C168" s="325" t="str">
        <f>'AST Expert rules 12'!C98</f>
        <v>???</v>
      </c>
    </row>
    <row r="169" spans="2:10">
      <c r="B169" s="8" t="str">
        <f>Language!A197</f>
        <v>GENERAL CONSIDERATIONS FOR STREP PNEUMONIAE</v>
      </c>
      <c r="C169" s="325" t="str">
        <f>'AST Expert rules 12'!C113</f>
        <v>???</v>
      </c>
    </row>
    <row r="170" spans="2:10">
      <c r="B170" s="8" t="str">
        <f>Language!A198</f>
        <v>EXPERT RULES FOR STREP PNEUMONIAE</v>
      </c>
      <c r="C170" s="325" t="str">
        <f>'AST Expert rules 12'!C122</f>
        <v>???</v>
      </c>
    </row>
    <row r="171" spans="2:10" ht="27.6" customHeight="1">
      <c r="B171" s="8" t="str">
        <f>Language!A199</f>
        <v>INDUCIBLE CLINDAMYCIN RESISTANCE TESTING</v>
      </c>
      <c r="C171" s="325" t="str">
        <f>'AST Expert rules 12'!C142</f>
        <v>???</v>
      </c>
    </row>
    <row r="172" spans="2:10">
      <c r="B172" s="8" t="str">
        <f>Language!A200</f>
        <v>EXPERT RULES FOR CEREBROSPINAL FLUID</v>
      </c>
      <c r="C172" s="325" t="str">
        <f>'AST Expert rules 12'!C150</f>
        <v>???</v>
      </c>
    </row>
    <row r="173" spans="2:10">
      <c r="B173" s="8"/>
      <c r="C173" s="325"/>
    </row>
    <row r="174" spans="2:10">
      <c r="B174" s="456" t="str">
        <f>Language!A201</f>
        <v>13- AST PANELS, POLICY AND ANALYSIS</v>
      </c>
      <c r="C174" s="457" t="str">
        <f>'AST Policy 13'!C1</f>
        <v>???</v>
      </c>
      <c r="J174" s="62"/>
    </row>
    <row r="175" spans="2:10">
      <c r="B175" s="8" t="str">
        <f>Language!A202</f>
        <v>AST PANELS</v>
      </c>
      <c r="C175" s="325" t="str">
        <f>'AST Policy 13'!C3</f>
        <v>???</v>
      </c>
    </row>
    <row r="176" spans="2:10">
      <c r="B176" s="8" t="str">
        <f>Language!A203</f>
        <v>CUMULATIVE ANTIBIOGRAMS</v>
      </c>
      <c r="C176" s="325" t="str">
        <f>'AST Policy 13'!C18</f>
        <v>???</v>
      </c>
    </row>
    <row r="177" spans="2:10">
      <c r="B177" s="8" t="str">
        <f>Language!A204</f>
        <v>AST PANEL POLICY</v>
      </c>
      <c r="C177" s="325" t="str">
        <f>'AST Policy 13'!C34</f>
        <v>???</v>
      </c>
    </row>
    <row r="178" spans="2:10">
      <c r="B178" s="8"/>
      <c r="C178" s="325"/>
    </row>
    <row r="179" spans="2:10">
      <c r="B179" s="456" t="str">
        <f>Language!A205</f>
        <v>SAFETY</v>
      </c>
      <c r="C179" s="457" t="str">
        <f>Safety!C1</f>
        <v>???</v>
      </c>
    </row>
    <row r="180" spans="2:10">
      <c r="B180" s="8" t="str">
        <f>Language!A206</f>
        <v>BIOSAFETY EQUIPMENT</v>
      </c>
      <c r="C180" s="325" t="str">
        <f>Safety!C3</f>
        <v>???</v>
      </c>
    </row>
    <row r="181" spans="2:10">
      <c r="B181" s="8" t="str">
        <f>Language!A207</f>
        <v>BIOSAFETY BEHAVIORS</v>
      </c>
      <c r="C181" s="325" t="str">
        <f>Safety!C18</f>
        <v>???</v>
      </c>
    </row>
    <row r="182" spans="2:10">
      <c r="B182" s="8" t="str">
        <f>Language!A208</f>
        <v>PERSONAL PROTECTIVE EQUIPMENT</v>
      </c>
      <c r="C182" s="325" t="str">
        <f>Safety!C29</f>
        <v>???</v>
      </c>
    </row>
    <row r="183" spans="2:10">
      <c r="B183" s="8" t="str">
        <f>Language!A209</f>
        <v>BIOSAFETY DOCUMENTATION AND TRAINING</v>
      </c>
      <c r="C183" s="325" t="str">
        <f>Safety!C40</f>
        <v>???</v>
      </c>
    </row>
    <row r="184" spans="2:10">
      <c r="B184" s="28"/>
    </row>
    <row r="185" spans="2:10">
      <c r="B185" s="451" t="str">
        <f>Language!A210</f>
        <v>Biochemical Identification Reagents</v>
      </c>
      <c r="C185" s="327" t="str">
        <f>Language!A211</f>
        <v>In Use?</v>
      </c>
      <c r="D185" s="541" t="str">
        <f>Language!A212</f>
        <v>QC Score</v>
      </c>
      <c r="E185" s="542" t="str">
        <f>Language!A213</f>
        <v>SOP Score</v>
      </c>
      <c r="I185" s="172"/>
      <c r="J185" s="150"/>
    </row>
    <row r="186" spans="2:10">
      <c r="B186" s="163" t="str">
        <f>Language!A214</f>
        <v>Catalase (H2O2)</v>
      </c>
      <c r="C186" s="88">
        <f>'Identification 10'!F12</f>
        <v>0</v>
      </c>
      <c r="D186" s="328" t="str">
        <f>'ID QC 6'!C21</f>
        <v>???</v>
      </c>
      <c r="E186" s="275" t="str">
        <f>'Identification 10'!C11</f>
        <v>???</v>
      </c>
      <c r="I186" s="150"/>
      <c r="J186" s="150"/>
    </row>
    <row r="187" spans="2:10">
      <c r="B187" s="163" t="str">
        <f>Language!A215</f>
        <v>Coagulase plasma</v>
      </c>
      <c r="C187" s="88">
        <f>'Identification 10'!F21</f>
        <v>0</v>
      </c>
      <c r="D187" s="328" t="str">
        <f>'ID QC 6'!C26</f>
        <v>???</v>
      </c>
      <c r="E187" s="275" t="str">
        <f>'Identification 10'!C20</f>
        <v>???</v>
      </c>
      <c r="I187" s="150"/>
      <c r="J187" s="150"/>
    </row>
    <row r="188" spans="2:10">
      <c r="B188" s="163" t="str">
        <f>Language!A216</f>
        <v>Staph latex agglutination</v>
      </c>
      <c r="C188" s="88">
        <f>'Identification 10'!F34</f>
        <v>0</v>
      </c>
      <c r="D188" s="328" t="str">
        <f>'ID QC 6'!C31</f>
        <v>???</v>
      </c>
      <c r="E188" s="275" t="str">
        <f>'Identification 10'!C33</f>
        <v>???</v>
      </c>
      <c r="I188" s="150"/>
      <c r="J188" s="150"/>
    </row>
    <row r="189" spans="2:10">
      <c r="B189" s="163" t="str">
        <f>Language!A217</f>
        <v>Staph chromagar</v>
      </c>
      <c r="C189" s="88">
        <f>'Identification 10'!F43</f>
        <v>0</v>
      </c>
      <c r="D189" s="328" t="str">
        <f>'ID QC 6'!C36</f>
        <v>???</v>
      </c>
      <c r="E189" s="275" t="str">
        <f>'Identification 10'!C42</f>
        <v>???</v>
      </c>
      <c r="I189" s="150"/>
      <c r="J189" s="150"/>
    </row>
    <row r="190" spans="2:10">
      <c r="B190" s="163" t="str">
        <f>Language!A218</f>
        <v>DNase</v>
      </c>
      <c r="C190" s="88">
        <f>'Identification 10'!F50</f>
        <v>0</v>
      </c>
      <c r="D190" s="328" t="str">
        <f>'ID QC 6'!C41</f>
        <v>???</v>
      </c>
      <c r="E190" s="275" t="str">
        <f>'Identification 10'!C49</f>
        <v>???</v>
      </c>
      <c r="I190" s="150"/>
      <c r="J190" s="150"/>
    </row>
    <row r="191" spans="2:10">
      <c r="B191" s="163" t="str">
        <f>Language!A219</f>
        <v>PYR</v>
      </c>
      <c r="C191" s="88">
        <f>'Identification 10'!F59</f>
        <v>0</v>
      </c>
      <c r="D191" s="328" t="str">
        <f>'ID QC 6'!C46</f>
        <v>???</v>
      </c>
      <c r="E191" s="275" t="str">
        <f>'Identification 10'!C58</f>
        <v>???</v>
      </c>
      <c r="I191" s="150"/>
      <c r="J191" s="150"/>
    </row>
    <row r="192" spans="2:10">
      <c r="B192" s="163" t="str">
        <f>Language!A220</f>
        <v>Optochin ("P") disk</v>
      </c>
      <c r="C192" s="88">
        <f>'Identification 10'!F73</f>
        <v>0</v>
      </c>
      <c r="D192" s="328" t="str">
        <f>'ID QC 6'!C51</f>
        <v>???</v>
      </c>
      <c r="E192" s="275" t="str">
        <f>'Identification 10'!C72</f>
        <v>???</v>
      </c>
      <c r="I192" s="150"/>
      <c r="J192" s="150"/>
    </row>
    <row r="193" spans="2:10">
      <c r="B193" s="163" t="str">
        <f>Language!A221</f>
        <v>Bile solubility (deoxycholate)</v>
      </c>
      <c r="C193" s="88">
        <f>'Identification 10'!F66</f>
        <v>0</v>
      </c>
      <c r="D193" s="328" t="str">
        <f>'ID QC 6'!C56</f>
        <v>???</v>
      </c>
      <c r="E193" s="275" t="str">
        <f>'Identification 10'!C65</f>
        <v>???</v>
      </c>
      <c r="I193" s="150"/>
      <c r="J193" s="150"/>
    </row>
    <row r="194" spans="2:10">
      <c r="B194" s="163" t="str">
        <f>Language!A222</f>
        <v>Strep. pneumo latex agglutination</v>
      </c>
      <c r="C194" s="88">
        <f>'Identification 10'!F81</f>
        <v>0</v>
      </c>
      <c r="D194" s="328" t="str">
        <f>'ID QC 6'!C61</f>
        <v>???</v>
      </c>
      <c r="E194" s="275" t="str">
        <f>'Identification 10'!C80</f>
        <v>???</v>
      </c>
      <c r="I194" s="150"/>
      <c r="J194" s="150"/>
    </row>
    <row r="195" spans="2:10">
      <c r="B195" s="163" t="str">
        <f>Language!A223</f>
        <v>Oxidase</v>
      </c>
      <c r="C195" s="88">
        <f>'Identification 10'!F89</f>
        <v>0</v>
      </c>
      <c r="D195" s="328" t="str">
        <f>'ID QC 6'!C66</f>
        <v>???</v>
      </c>
      <c r="E195" s="275" t="str">
        <f>'Identification 10'!C88</f>
        <v>???</v>
      </c>
    </row>
    <row r="196" spans="2:10">
      <c r="B196" s="163" t="str">
        <f>Language!A224</f>
        <v>Indole reagents</v>
      </c>
      <c r="C196" s="88">
        <f>'Identification 10'!F96</f>
        <v>0</v>
      </c>
      <c r="D196" s="328" t="str">
        <f>'ID QC 6'!C71</f>
        <v>???</v>
      </c>
      <c r="E196" s="275" t="str">
        <f>'Identification 10'!C95</f>
        <v>???</v>
      </c>
    </row>
    <row r="197" spans="2:10">
      <c r="B197" s="163" t="str">
        <f>Language!A225</f>
        <v>Methyl Red</v>
      </c>
      <c r="C197" s="88">
        <f>'Identification 10'!F103</f>
        <v>0</v>
      </c>
      <c r="D197" s="328" t="str">
        <f>'ID QC 6'!C76</f>
        <v>???</v>
      </c>
      <c r="E197" s="275" t="str">
        <f>'Identification 10'!C102</f>
        <v>???</v>
      </c>
    </row>
    <row r="198" spans="2:10">
      <c r="B198" s="163" t="str">
        <f>Language!A226</f>
        <v>Voges-Proskauer</v>
      </c>
      <c r="C198" s="88">
        <f>'Identification 10'!F110</f>
        <v>0</v>
      </c>
      <c r="D198" s="328" t="str">
        <f>'ID QC 6'!C81</f>
        <v>???</v>
      </c>
      <c r="E198" s="275" t="str">
        <f>'Identification 10'!C109</f>
        <v>???</v>
      </c>
    </row>
    <row r="199" spans="2:10">
      <c r="B199" s="163" t="str">
        <f>Language!A227</f>
        <v>Citrate</v>
      </c>
      <c r="C199" s="88">
        <f>'Identification 10'!F117</f>
        <v>0</v>
      </c>
      <c r="D199" s="328" t="str">
        <f>'ID QC 6'!C86</f>
        <v>???</v>
      </c>
      <c r="E199" s="275" t="str">
        <f>'Identification 10'!C116</f>
        <v>???</v>
      </c>
    </row>
    <row r="200" spans="2:10">
      <c r="B200" s="163" t="str">
        <f>Language!A228</f>
        <v>Triple Sugar Iron agar or Kligler's Iron Agar</v>
      </c>
      <c r="C200" s="88">
        <f>'Identification 10'!F124</f>
        <v>0</v>
      </c>
      <c r="D200" s="328" t="str">
        <f>'ID QC 6'!C91</f>
        <v>???</v>
      </c>
      <c r="E200" s="275" t="str">
        <f>'Identification 10'!C123</f>
        <v>???</v>
      </c>
    </row>
    <row r="201" spans="2:10">
      <c r="B201" s="163" t="str">
        <f>Language!A229</f>
        <v>Urease</v>
      </c>
      <c r="C201" s="88">
        <f>'Identification 10'!F131</f>
        <v>0</v>
      </c>
      <c r="D201" s="328" t="str">
        <f>'ID QC 6'!C96</f>
        <v>???</v>
      </c>
      <c r="E201" s="275" t="str">
        <f>'Identification 10'!C130</f>
        <v>???</v>
      </c>
    </row>
    <row r="202" spans="2:10">
      <c r="B202" s="163" t="str">
        <f>Language!A230</f>
        <v>Motility</v>
      </c>
      <c r="C202" s="88">
        <f>'Identification 10'!F138</f>
        <v>0</v>
      </c>
      <c r="D202" s="328" t="str">
        <f>'ID QC 6'!C101</f>
        <v>???</v>
      </c>
      <c r="E202" s="275" t="str">
        <f>'Identification 10'!C137</f>
        <v>???</v>
      </c>
    </row>
    <row r="203" spans="2:10">
      <c r="B203" s="163" t="str">
        <f>Language!A231</f>
        <v>Lysine Iron Agar (LIA) or Lysine decarboxylase (LDC)</v>
      </c>
      <c r="C203" s="88">
        <f>'Identification 10'!F145</f>
        <v>0</v>
      </c>
      <c r="D203" s="328" t="str">
        <f>'ID QC 6'!C106</f>
        <v>???</v>
      </c>
      <c r="E203" s="275" t="str">
        <f>'Identification 10'!C144</f>
        <v>???</v>
      </c>
    </row>
    <row r="204" spans="2:10">
      <c r="B204" s="163" t="str">
        <f>Language!A232</f>
        <v>Glucose or Dextrose Oxidative-Fermentative (OF) test</v>
      </c>
      <c r="C204" s="88">
        <f>'Identification 10'!F170</f>
        <v>0</v>
      </c>
      <c r="D204" s="328" t="str">
        <f>'ID QC 6'!C111</f>
        <v>???</v>
      </c>
      <c r="E204" s="275" t="str">
        <f>'Identification 10'!C169</f>
        <v>???</v>
      </c>
    </row>
    <row r="205" spans="2:10">
      <c r="B205" s="163" t="str">
        <f>Language!A233</f>
        <v>Nitrate reduction</v>
      </c>
      <c r="C205" s="88">
        <f>'Identification 10'!F177</f>
        <v>0</v>
      </c>
      <c r="D205" s="328" t="str">
        <f>'ID QC 6'!C116</f>
        <v>???</v>
      </c>
      <c r="E205" s="275" t="str">
        <f>'Identification 10'!C176</f>
        <v>???</v>
      </c>
    </row>
    <row r="206" spans="2:10">
      <c r="B206" s="163" t="str">
        <f>Language!A234</f>
        <v>Gelatin hydrolysis</v>
      </c>
      <c r="C206" s="88">
        <f>'Identification 10'!F184</f>
        <v>0</v>
      </c>
      <c r="D206" s="328" t="str">
        <f>'ID QC 6'!C121</f>
        <v>???</v>
      </c>
      <c r="E206" s="275" t="str">
        <f>'Identification 10'!C183</f>
        <v>???</v>
      </c>
    </row>
    <row r="207" spans="2:10">
      <c r="B207" s="163" t="str">
        <f>Language!A235</f>
        <v>Chloramphenicol resistance (disk)</v>
      </c>
      <c r="C207" s="88">
        <f>'Identification 10'!F191</f>
        <v>0</v>
      </c>
      <c r="D207" s="328" t="str">
        <f>'ID QC 6'!C126</f>
        <v>???</v>
      </c>
      <c r="E207" s="275" t="str">
        <f>'Identification 10'!C190</f>
        <v>???</v>
      </c>
    </row>
    <row r="208" spans="2:10">
      <c r="B208" s="163" t="str">
        <f>Language!A236</f>
        <v>Growth at 42°C</v>
      </c>
      <c r="C208" s="88">
        <f>'Identification 10'!F198</f>
        <v>0</v>
      </c>
      <c r="D208" s="328" t="str">
        <f>'ID QC 6'!C131</f>
        <v>???</v>
      </c>
      <c r="E208" s="275" t="str">
        <f>'Identification 10'!C197</f>
        <v>???</v>
      </c>
    </row>
    <row r="209" spans="2:7">
      <c r="B209" s="163" t="str">
        <f>Language!A237</f>
        <v>Shigella serology</v>
      </c>
      <c r="C209" s="88">
        <f>'Identification 10'!F154</f>
        <v>0</v>
      </c>
      <c r="D209" s="328" t="str">
        <f>'ID QC 6'!C141</f>
        <v>???</v>
      </c>
      <c r="E209" s="275" t="str">
        <f>'Identification 10'!C153</f>
        <v>???</v>
      </c>
    </row>
    <row r="210" spans="2:7">
      <c r="B210" s="163" t="str">
        <f>Language!A238</f>
        <v>Salmonella serology</v>
      </c>
      <c r="C210" s="88">
        <f>'Identification 10'!F161</f>
        <v>0</v>
      </c>
      <c r="D210" s="328" t="str">
        <f>'ID QC 6'!C146</f>
        <v>???</v>
      </c>
      <c r="E210" s="275" t="str">
        <f>'Identification 10'!C160</f>
        <v>???</v>
      </c>
    </row>
    <row r="211" spans="2:7">
      <c r="B211" s="28"/>
    </row>
    <row r="212" spans="2:7">
      <c r="B212" s="452" t="str">
        <f>Language!A239</f>
        <v>Equipment availability summary</v>
      </c>
      <c r="C212" s="329"/>
      <c r="E212" s="648" t="str">
        <f>Language!A429</f>
        <v>QMS MENTORING PROGRAMS</v>
      </c>
      <c r="F212" s="648"/>
      <c r="G212" s="359"/>
    </row>
    <row r="213" spans="2:7">
      <c r="B213" s="453" t="str">
        <f>Language!A240</f>
        <v>General equipment</v>
      </c>
      <c r="C213" s="362" t="s">
        <v>5542</v>
      </c>
      <c r="E213" s="646" t="s">
        <v>6541</v>
      </c>
      <c r="F213" s="647"/>
      <c r="G213" s="360">
        <f>'General 0'!C144</f>
        <v>0</v>
      </c>
    </row>
    <row r="214" spans="2:7" ht="27.6" customHeight="1">
      <c r="B214" s="166" t="str">
        <f>Language!A241</f>
        <v>McFarland QC standards of known densities, including 0.5, not expired</v>
      </c>
      <c r="C214" s="330">
        <f>'Facility 1'!D22</f>
        <v>0</v>
      </c>
      <c r="E214" s="646" t="s">
        <v>6542</v>
      </c>
      <c r="F214" s="647"/>
      <c r="G214" s="360">
        <f>'General 0'!C149</f>
        <v>0</v>
      </c>
    </row>
    <row r="215" spans="2:7">
      <c r="B215" s="166" t="str">
        <f>Language!A242</f>
        <v>Ruler or caliper with millimeter markings</v>
      </c>
      <c r="C215" s="330">
        <f>'Facility 1'!D23</f>
        <v>0</v>
      </c>
      <c r="E215" s="646" t="s">
        <v>6543</v>
      </c>
      <c r="F215" s="647"/>
      <c r="G215" s="360">
        <f>'General 0'!C152</f>
        <v>0</v>
      </c>
    </row>
    <row r="216" spans="2:7">
      <c r="B216" s="166" t="str">
        <f>Language!A243</f>
        <v>Bunsen burners or micro-incinerators</v>
      </c>
      <c r="C216" s="330">
        <f>'Facility 1'!D24</f>
        <v>0</v>
      </c>
    </row>
    <row r="217" spans="2:7" ht="27.6" customHeight="1">
      <c r="B217" s="166" t="str">
        <f>Language!A244</f>
        <v>Calibrated 1uL or 10uL loops (for plating urine cultures)</v>
      </c>
      <c r="C217" s="330" t="str">
        <f>'Facility 1'!D25</f>
        <v>na</v>
      </c>
    </row>
    <row r="218" spans="2:7" ht="27.6" customHeight="1">
      <c r="B218" s="166" t="str">
        <f>Language!A245</f>
        <v>Optical densitometer/turbidimeter (for determining McFarland density)</v>
      </c>
      <c r="C218" s="330">
        <f>'Facility 1'!D26</f>
        <v>0</v>
      </c>
      <c r="E218" s="649" t="str">
        <f>Language!A439</f>
        <v>ACCREDITATION and CERTIFICATION</v>
      </c>
      <c r="F218" s="649"/>
      <c r="G218" s="649"/>
    </row>
    <row r="219" spans="2:7">
      <c r="B219" s="166" t="str">
        <f>Language!A246</f>
        <v>Microliter pipettes (e.g., Eppendorf)</v>
      </c>
      <c r="C219" s="330">
        <f>'Facility 1'!D27</f>
        <v>0</v>
      </c>
      <c r="E219" s="645" t="str">
        <f>Language!A441</f>
        <v>Blood cultures</v>
      </c>
      <c r="F219" s="645"/>
      <c r="G219" s="360">
        <f>'General 0'!C156</f>
        <v>0</v>
      </c>
    </row>
    <row r="220" spans="2:7">
      <c r="B220" s="166" t="str">
        <f>Language!A247</f>
        <v>Centrifuge (not used for TB cultures)</v>
      </c>
      <c r="C220" s="330">
        <f>'Facility 1'!D28</f>
        <v>0</v>
      </c>
      <c r="D220" s="313"/>
      <c r="E220" s="645" t="str">
        <f>Language!A442</f>
        <v>Stool cultures</v>
      </c>
      <c r="F220" s="645"/>
      <c r="G220" s="360">
        <f>'General 0'!C157</f>
        <v>0</v>
      </c>
    </row>
    <row r="221" spans="2:7">
      <c r="B221" s="166" t="str">
        <f>Language!A248</f>
        <v>Microscope</v>
      </c>
      <c r="C221" s="330">
        <f>'Facility 1'!D29</f>
        <v>0</v>
      </c>
      <c r="E221" s="645" t="str">
        <f>Language!A443</f>
        <v>Urine cultures</v>
      </c>
      <c r="F221" s="645"/>
      <c r="G221" s="360">
        <f>'General 0'!C158</f>
        <v>0</v>
      </c>
    </row>
    <row r="222" spans="2:7">
      <c r="B222" s="166" t="str">
        <f>Language!A249</f>
        <v>Thermometers</v>
      </c>
      <c r="C222" s="330">
        <f>'Facility 1'!D30</f>
        <v>0</v>
      </c>
      <c r="E222" s="645" t="str">
        <f>Language!A444</f>
        <v>Organism Identification</v>
      </c>
      <c r="F222" s="645"/>
      <c r="G222" s="360">
        <f>'General 0'!C159</f>
        <v>0</v>
      </c>
    </row>
    <row r="223" spans="2:7">
      <c r="B223" s="166" t="str">
        <f>Language!A250</f>
        <v>CO2 incubators</v>
      </c>
      <c r="C223" s="330">
        <f>'Facility 1'!D31</f>
        <v>0</v>
      </c>
      <c r="E223" s="651" t="str">
        <f>Language!A445</f>
        <v>Antibiotic Susceptibility Testing</v>
      </c>
      <c r="F223" s="651"/>
      <c r="G223" s="360">
        <f>'General 0'!C160</f>
        <v>0</v>
      </c>
    </row>
    <row r="224" spans="2:7">
      <c r="B224" s="205" t="str">
        <f>Language!A251</f>
        <v>Candle jars</v>
      </c>
      <c r="C224" s="330">
        <f>'Facility 1'!D32</f>
        <v>0</v>
      </c>
      <c r="E224" s="645">
        <f>'General 0'!E161:G161</f>
        <v>0</v>
      </c>
      <c r="F224" s="645"/>
      <c r="G224" s="360">
        <f>'General 0'!C161</f>
        <v>0</v>
      </c>
    </row>
    <row r="225" spans="2:3">
      <c r="B225" s="166" t="str">
        <f>Language!A252</f>
        <v>Ambient (non-CO2) incubator</v>
      </c>
      <c r="C225" s="330">
        <f>'Facility 1'!D33</f>
        <v>0</v>
      </c>
    </row>
    <row r="226" spans="2:3">
      <c r="B226" s="166" t="str">
        <f>Language!A253</f>
        <v>Refrigerator (2-8°C)</v>
      </c>
      <c r="C226" s="330">
        <f>'Facility 1'!D34</f>
        <v>0</v>
      </c>
    </row>
    <row r="227" spans="2:3">
      <c r="B227" s="166" t="str">
        <f>Language!A254</f>
        <v xml:space="preserve">Non-defrosting freezer, -20°C </v>
      </c>
      <c r="C227" s="330">
        <f>'Facility 1'!D35</f>
        <v>0</v>
      </c>
    </row>
    <row r="228" spans="2:3">
      <c r="B228" s="167" t="str">
        <f>Language!A255</f>
        <v>Non-defrosting freezer, -60°C</v>
      </c>
      <c r="C228" s="330">
        <f>'Facility 1'!D36</f>
        <v>0</v>
      </c>
    </row>
    <row r="229" spans="2:3">
      <c r="B229" s="166" t="str">
        <f>Language!A256</f>
        <v xml:space="preserve">Non-defrosting freezer, -80°C </v>
      </c>
      <c r="C229" s="330">
        <f>'Facility 1'!D37</f>
        <v>0</v>
      </c>
    </row>
    <row r="230" spans="2:3" ht="27.6" customHeight="1">
      <c r="B230" s="166" t="str">
        <f>Language!A257</f>
        <v>Rechargeable desiccants (for storage of open antibiotic disks and strips)</v>
      </c>
      <c r="C230" s="330" t="str">
        <f>'Facility 1'!D38</f>
        <v>na</v>
      </c>
    </row>
    <row r="231" spans="2:3">
      <c r="B231" s="166" t="str">
        <f>Language!A258</f>
        <v>Hot air oven (for drying saturated desiccants)</v>
      </c>
      <c r="C231" s="330">
        <f>'Facility 1'!D39</f>
        <v>0</v>
      </c>
    </row>
    <row r="232" spans="2:3">
      <c r="B232" s="166" t="str">
        <f>Language!A259</f>
        <v>Biological Safety Cabinet Class IIA</v>
      </c>
      <c r="C232" s="330">
        <f>'Facility 1'!D40</f>
        <v>0</v>
      </c>
    </row>
    <row r="233" spans="2:3">
      <c r="B233" s="166" t="str">
        <f>Language!A260</f>
        <v>Autoclave for media preparation ("clean" autoclave)</v>
      </c>
      <c r="C233" s="330">
        <f>'Facility 1'!D41</f>
        <v>0</v>
      </c>
    </row>
    <row r="234" spans="2:3">
      <c r="B234" s="166" t="str">
        <f>Language!A261</f>
        <v>Autoclave for sterlizing waste ("dirty" autoclave)</v>
      </c>
      <c r="C234" s="330">
        <f>'Facility 1'!D42</f>
        <v>0</v>
      </c>
    </row>
    <row r="235" spans="2:3">
      <c r="B235" s="453" t="str">
        <f>Language!A262</f>
        <v>Media Preparation equipment</v>
      </c>
      <c r="C235" s="363"/>
    </row>
    <row r="236" spans="2:3">
      <c r="B236" s="166" t="str">
        <f>Language!A263</f>
        <v>pH meter</v>
      </c>
      <c r="C236" s="331">
        <f>'Facility 1'!D47</f>
        <v>0</v>
      </c>
    </row>
    <row r="237" spans="2:3">
      <c r="B237" s="166" t="str">
        <f>Language!A264</f>
        <v>Weighing balance</v>
      </c>
      <c r="C237" s="331">
        <f>'Facility 1'!D48</f>
        <v>0</v>
      </c>
    </row>
    <row r="238" spans="2:3">
      <c r="B238" s="166" t="str">
        <f>Language!A265</f>
        <v>Conductivity meter</v>
      </c>
      <c r="C238" s="331">
        <f>'Facility 1'!D49</f>
        <v>0</v>
      </c>
    </row>
    <row r="239" spans="2:3">
      <c r="B239" s="166" t="str">
        <f>Language!A266</f>
        <v>Distillator/reverse osmosis equipment</v>
      </c>
      <c r="C239" s="331">
        <f>'Facility 1'!D50</f>
        <v>0</v>
      </c>
    </row>
    <row r="240" spans="2:3" ht="27.6" customHeight="1">
      <c r="B240" s="166" t="str">
        <f>Language!A267</f>
        <v>Hot plate with magnetic stir bar (for mixing powdered media)</v>
      </c>
      <c r="C240" s="331">
        <f>'Facility 1'!D51</f>
        <v>0</v>
      </c>
    </row>
    <row r="241" spans="2:3">
      <c r="B241" s="166" t="str">
        <f>Language!A268</f>
        <v>Water bath</v>
      </c>
      <c r="C241" s="331">
        <f>'Facility 1'!D52</f>
        <v>0</v>
      </c>
    </row>
    <row r="242" spans="2:3">
      <c r="B242" s="453" t="str">
        <f>Language!A269</f>
        <v>Automated Instruments</v>
      </c>
      <c r="C242" s="363"/>
    </row>
    <row r="243" spans="2:3">
      <c r="B243" s="166" t="str">
        <f>Language!A270</f>
        <v>Blood culture instrument</v>
      </c>
      <c r="C243" s="88">
        <f>'Facility 1'!D121</f>
        <v>0</v>
      </c>
    </row>
    <row r="244" spans="2:3" ht="27.6" customHeight="1">
      <c r="B244" s="166" t="str">
        <f>Language!A271</f>
        <v>Instrument for bacterial ID and AST (e.g. Vitek, Phoenix, Microscan)</v>
      </c>
      <c r="C244" s="88">
        <f>'Facility 1'!D128</f>
        <v>0</v>
      </c>
    </row>
    <row r="245" spans="2:3" ht="27.6" customHeight="1">
      <c r="B245" s="166" t="str">
        <f>Language!A272</f>
        <v>Instrument for reading disk diffusion (e.g. SIRSCAN, BIOMIC V3, ADAGIO, etc.)</v>
      </c>
      <c r="C245" s="88">
        <f>'Facility 1'!D135</f>
        <v>0</v>
      </c>
    </row>
    <row r="246" spans="2:3">
      <c r="B246" s="166" t="str">
        <f>Language!A273</f>
        <v xml:space="preserve">MALDI instrument for organism ID </v>
      </c>
      <c r="C246" s="88">
        <f>'Facility 1'!D142</f>
        <v>0</v>
      </c>
    </row>
    <row r="247" spans="2:3">
      <c r="B247" s="166" t="str">
        <f>Language!A274</f>
        <v xml:space="preserve">PCR instrument for antibiotic resistance gene detection </v>
      </c>
      <c r="C247" s="88">
        <f>'Facility 1'!D149</f>
        <v>0</v>
      </c>
    </row>
  </sheetData>
  <sheetProtection algorithmName="SHA-256" hashValue="fFmMRlSsj93q5mRYfSSLSlTgjFf2bObTq1d5Cy1+JNE=" saltValue="faPwTLATSaSlMSodo0SKjA==" spinCount="100000" sheet="1" selectLockedCells="1"/>
  <mergeCells count="23">
    <mergeCell ref="E38:F38"/>
    <mergeCell ref="E37:F37"/>
    <mergeCell ref="E221:F221"/>
    <mergeCell ref="E222:F222"/>
    <mergeCell ref="E223:F223"/>
    <mergeCell ref="E39:F39"/>
    <mergeCell ref="E40:F40"/>
    <mergeCell ref="E41:F41"/>
    <mergeCell ref="E42:F42"/>
    <mergeCell ref="E224:F224"/>
    <mergeCell ref="E43:F43"/>
    <mergeCell ref="E212:F212"/>
    <mergeCell ref="E218:G218"/>
    <mergeCell ref="E219:F219"/>
    <mergeCell ref="E220:F220"/>
    <mergeCell ref="E213:F213"/>
    <mergeCell ref="E214:F214"/>
    <mergeCell ref="E215:F215"/>
    <mergeCell ref="C4:H4"/>
    <mergeCell ref="C5:H5"/>
    <mergeCell ref="C8:D8"/>
    <mergeCell ref="A1:H1"/>
    <mergeCell ref="A2:H2"/>
  </mergeCells>
  <phoneticPr fontId="45" type="noConversion"/>
  <conditionalFormatting sqref="C36">
    <cfRule type="cellIs" dxfId="110" priority="95" stopIfTrue="1" operator="greaterThanOrEqual">
      <formula>0.8</formula>
    </cfRule>
    <cfRule type="cellIs" dxfId="109" priority="97" stopIfTrue="1" operator="lessThan">
      <formula>0.5</formula>
    </cfRule>
    <cfRule type="cellIs" dxfId="108" priority="96" stopIfTrue="1" operator="between">
      <formula>0.5</formula>
      <formula>0.799</formula>
    </cfRule>
  </conditionalFormatting>
  <conditionalFormatting sqref="C47">
    <cfRule type="cellIs" dxfId="107" priority="76" stopIfTrue="1" operator="lessThan">
      <formula>0.5</formula>
    </cfRule>
    <cfRule type="cellIs" dxfId="106" priority="75" stopIfTrue="1" operator="between">
      <formula>0.5</formula>
      <formula>0.799</formula>
    </cfRule>
    <cfRule type="cellIs" dxfId="105" priority="74" stopIfTrue="1" operator="greaterThanOrEqual">
      <formula>0.8</formula>
    </cfRule>
  </conditionalFormatting>
  <conditionalFormatting sqref="C63">
    <cfRule type="cellIs" dxfId="104" priority="53" stopIfTrue="1" operator="lessThan">
      <formula>0.5</formula>
    </cfRule>
    <cfRule type="cellIs" dxfId="103" priority="52" stopIfTrue="1" operator="between">
      <formula>0.5</formula>
      <formula>0.799</formula>
    </cfRule>
    <cfRule type="cellIs" dxfId="102" priority="51" stopIfTrue="1" operator="greaterThanOrEqual">
      <formula>0.8</formula>
    </cfRule>
  </conditionalFormatting>
  <conditionalFormatting sqref="C76">
    <cfRule type="cellIs" dxfId="101" priority="49" stopIfTrue="1" operator="between">
      <formula>0.5</formula>
      <formula>0.799</formula>
    </cfRule>
    <cfRule type="cellIs" dxfId="100" priority="50" stopIfTrue="1" operator="lessThan">
      <formula>0.5</formula>
    </cfRule>
    <cfRule type="cellIs" dxfId="99" priority="48" stopIfTrue="1" operator="greaterThanOrEqual">
      <formula>0.8</formula>
    </cfRule>
  </conditionalFormatting>
  <conditionalFormatting sqref="C84">
    <cfRule type="cellIs" dxfId="98" priority="47" stopIfTrue="1" operator="lessThan">
      <formula>0.5</formula>
    </cfRule>
    <cfRule type="cellIs" dxfId="97" priority="46" stopIfTrue="1" operator="between">
      <formula>0.5</formula>
      <formula>0.799</formula>
    </cfRule>
    <cfRule type="cellIs" dxfId="96" priority="45" stopIfTrue="1" operator="greaterThanOrEqual">
      <formula>0.8</formula>
    </cfRule>
  </conditionalFormatting>
  <conditionalFormatting sqref="C93">
    <cfRule type="cellIs" dxfId="95" priority="44" stopIfTrue="1" operator="lessThan">
      <formula>0.5</formula>
    </cfRule>
    <cfRule type="cellIs" dxfId="94" priority="43" stopIfTrue="1" operator="between">
      <formula>0.5</formula>
      <formula>0.799</formula>
    </cfRule>
    <cfRule type="cellIs" dxfId="93" priority="42" stopIfTrue="1" operator="greaterThanOrEqual">
      <formula>0.8</formula>
    </cfRule>
  </conditionalFormatting>
  <conditionalFormatting sqref="C99">
    <cfRule type="cellIs" dxfId="92" priority="41" stopIfTrue="1" operator="lessThan">
      <formula>0.5</formula>
    </cfRule>
    <cfRule type="cellIs" dxfId="91" priority="40" stopIfTrue="1" operator="between">
      <formula>0.5</formula>
      <formula>0.799</formula>
    </cfRule>
    <cfRule type="cellIs" dxfId="90" priority="39" stopIfTrue="1" operator="greaterThanOrEqual">
      <formula>0.8</formula>
    </cfRule>
  </conditionalFormatting>
  <conditionalFormatting sqref="C107">
    <cfRule type="cellIs" dxfId="89" priority="12" stopIfTrue="1" operator="greaterThanOrEqual">
      <formula>0.8</formula>
    </cfRule>
    <cfRule type="cellIs" dxfId="88" priority="13" stopIfTrue="1" operator="between">
      <formula>0.5</formula>
      <formula>0.799</formula>
    </cfRule>
    <cfRule type="cellIs" dxfId="87" priority="14" stopIfTrue="1" operator="lessThan">
      <formula>0.5</formula>
    </cfRule>
  </conditionalFormatting>
  <conditionalFormatting sqref="C117">
    <cfRule type="cellIs" dxfId="86" priority="38" stopIfTrue="1" operator="lessThan">
      <formula>0.5</formula>
    </cfRule>
    <cfRule type="cellIs" dxfId="85" priority="37" stopIfTrue="1" operator="between">
      <formula>0.5</formula>
      <formula>0.799</formula>
    </cfRule>
    <cfRule type="cellIs" dxfId="84" priority="36" stopIfTrue="1" operator="greaterThanOrEqual">
      <formula>0.8</formula>
    </cfRule>
  </conditionalFormatting>
  <conditionalFormatting sqref="C124">
    <cfRule type="cellIs" dxfId="83" priority="34" stopIfTrue="1" operator="between">
      <formula>0.5</formula>
      <formula>0.799</formula>
    </cfRule>
    <cfRule type="cellIs" dxfId="82" priority="35" stopIfTrue="1" operator="lessThan">
      <formula>0.5</formula>
    </cfRule>
    <cfRule type="cellIs" dxfId="81" priority="33" stopIfTrue="1" operator="greaterThanOrEqual">
      <formula>0.8</formula>
    </cfRule>
  </conditionalFormatting>
  <conditionalFormatting sqref="C131">
    <cfRule type="cellIs" dxfId="80" priority="31" stopIfTrue="1" operator="between">
      <formula>0.5</formula>
      <formula>0.799</formula>
    </cfRule>
    <cfRule type="cellIs" dxfId="79" priority="30" stopIfTrue="1" operator="greaterThanOrEqual">
      <formula>0.8</formula>
    </cfRule>
    <cfRule type="cellIs" dxfId="78" priority="32" stopIfTrue="1" operator="lessThan">
      <formula>0.5</formula>
    </cfRule>
  </conditionalFormatting>
  <conditionalFormatting sqref="C137">
    <cfRule type="cellIs" dxfId="77" priority="11" stopIfTrue="1" operator="lessThan">
      <formula>0.5</formula>
    </cfRule>
    <cfRule type="cellIs" dxfId="76" priority="9" stopIfTrue="1" operator="greaterThanOrEqual">
      <formula>0.8</formula>
    </cfRule>
    <cfRule type="cellIs" dxfId="75" priority="10" stopIfTrue="1" operator="between">
      <formula>0.5</formula>
      <formula>0.799</formula>
    </cfRule>
  </conditionalFormatting>
  <conditionalFormatting sqref="C154">
    <cfRule type="cellIs" dxfId="74" priority="29" stopIfTrue="1" operator="lessThan">
      <formula>0.5</formula>
    </cfRule>
    <cfRule type="cellIs" dxfId="73" priority="28" stopIfTrue="1" operator="between">
      <formula>0.5</formula>
      <formula>0.799</formula>
    </cfRule>
    <cfRule type="cellIs" dxfId="72" priority="27" stopIfTrue="1" operator="greaterThanOrEqual">
      <formula>0.8</formula>
    </cfRule>
  </conditionalFormatting>
  <conditionalFormatting sqref="C162">
    <cfRule type="cellIs" dxfId="71" priority="26" stopIfTrue="1" operator="lessThan">
      <formula>0.5</formula>
    </cfRule>
    <cfRule type="cellIs" dxfId="70" priority="25" stopIfTrue="1" operator="between">
      <formula>0.5</formula>
      <formula>0.799</formula>
    </cfRule>
    <cfRule type="cellIs" dxfId="69" priority="24" stopIfTrue="1" operator="greaterThanOrEqual">
      <formula>0.8</formula>
    </cfRule>
  </conditionalFormatting>
  <conditionalFormatting sqref="C174">
    <cfRule type="cellIs" dxfId="68" priority="20" stopIfTrue="1" operator="lessThan">
      <formula>0.5</formula>
    </cfRule>
    <cfRule type="cellIs" dxfId="67" priority="19" stopIfTrue="1" operator="between">
      <formula>0.5</formula>
      <formula>0.799</formula>
    </cfRule>
    <cfRule type="cellIs" dxfId="66" priority="18" stopIfTrue="1" operator="greaterThanOrEqual">
      <formula>0.8</formula>
    </cfRule>
  </conditionalFormatting>
  <conditionalFormatting sqref="C179">
    <cfRule type="cellIs" dxfId="65" priority="17" stopIfTrue="1" operator="lessThan">
      <formula>0.5</formula>
    </cfRule>
    <cfRule type="cellIs" dxfId="64" priority="15" stopIfTrue="1" operator="greaterThanOrEqual">
      <formula>0.8</formula>
    </cfRule>
    <cfRule type="cellIs" dxfId="63" priority="16" stopIfTrue="1" operator="between">
      <formula>0.5</formula>
      <formula>0.799</formula>
    </cfRule>
  </conditionalFormatting>
  <conditionalFormatting sqref="C186:C210">
    <cfRule type="cellIs" dxfId="62" priority="4" operator="equal">
      <formula>"Yes"</formula>
    </cfRule>
  </conditionalFormatting>
  <conditionalFormatting sqref="C214:C244">
    <cfRule type="containsText" dxfId="61" priority="54" operator="containsText" text="No">
      <formula>NOT(ISERROR(SEARCH("No",C214)))</formula>
    </cfRule>
  </conditionalFormatting>
  <conditionalFormatting sqref="D186:E210">
    <cfRule type="cellIs" dxfId="60" priority="8" operator="lessThanOrEqual">
      <formula>0.5</formula>
    </cfRule>
    <cfRule type="cellIs" dxfId="59" priority="7" operator="between">
      <formula>0.5</formula>
      <formula>0.7999</formula>
    </cfRule>
    <cfRule type="cellIs" dxfId="58" priority="6" operator="equal">
      <formula>"NA"</formula>
    </cfRule>
    <cfRule type="cellIs" dxfId="57" priority="5" operator="equal">
      <formula>"???"</formula>
    </cfRule>
    <cfRule type="cellIs" dxfId="56" priority="63" operator="greaterThanOrEqual">
      <formula>0.8</formula>
    </cfRule>
  </conditionalFormatting>
  <pageMargins left="0.25" right="0.25" top="0.75" bottom="0.75" header="0.3" footer="0.3"/>
  <pageSetup paperSize="9" scale="85" fitToHeight="4" orientation="portrait" r:id="rId1"/>
  <headerFooter>
    <oddFooter>&amp;C&amp;A -&amp;P&amp;R&amp;F</oddFooter>
  </headerFooter>
  <rowBreaks count="5" manualBreakCount="5">
    <brk id="46" max="7" man="1"/>
    <brk id="97" max="7" man="1"/>
    <brk id="135" max="7" man="1"/>
    <brk id="172" max="7" man="1"/>
    <brk id="211"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FF0000"/>
  </sheetPr>
  <dimension ref="A1:N159"/>
  <sheetViews>
    <sheetView zoomScale="90" zoomScaleNormal="90" zoomScaleSheetLayoutView="90" zoomScalePageLayoutView="80" workbookViewId="0"/>
  </sheetViews>
  <sheetFormatPr defaultColWidth="11.19921875" defaultRowHeight="13.8"/>
  <cols>
    <col min="1" max="1" width="5.19921875" style="158" bestFit="1" customWidth="1"/>
    <col min="2" max="2" width="103.09765625" style="8" customWidth="1"/>
    <col min="3" max="3" width="9.69921875" style="15" customWidth="1"/>
    <col min="4" max="4" width="8.19921875" style="15" hidden="1" customWidth="1"/>
    <col min="5" max="5" width="11.5" style="184" customWidth="1"/>
    <col min="6" max="6" width="3.19921875" style="15" hidden="1" customWidth="1"/>
    <col min="7" max="7" width="10.19921875" style="15" bestFit="1" customWidth="1"/>
    <col min="8" max="8" width="7.19921875" style="336" bestFit="1" customWidth="1"/>
    <col min="9" max="16384" width="11.19921875" style="5"/>
  </cols>
  <sheetData>
    <row r="1" spans="1:9" ht="15.6">
      <c r="B1" s="332" t="str">
        <f>Language!A283</f>
        <v>FLAGS</v>
      </c>
      <c r="C1" s="338"/>
      <c r="D1" s="156"/>
      <c r="E1" s="183"/>
      <c r="F1" s="156"/>
      <c r="G1" s="156"/>
      <c r="H1" s="335"/>
      <c r="I1" s="64"/>
    </row>
    <row r="2" spans="1:9" ht="27.6" customHeight="1">
      <c r="B2" s="397" t="str">
        <f>Language!A284</f>
        <v>Red Flags represent practices that may put patients or staff at risk and should be corrected immediately</v>
      </c>
      <c r="C2" s="156"/>
      <c r="D2" s="156"/>
      <c r="E2" s="183"/>
      <c r="F2" s="156"/>
      <c r="G2" s="156"/>
      <c r="H2" s="335"/>
      <c r="I2" s="64"/>
    </row>
    <row r="3" spans="1:9">
      <c r="B3" s="45" t="str">
        <f>Language!A287</f>
        <v>Red Flags</v>
      </c>
      <c r="C3" s="268" t="str">
        <f>Language!A288</f>
        <v>Response</v>
      </c>
      <c r="D3" s="268" t="str">
        <f>Language!A289</f>
        <v>Trigger</v>
      </c>
      <c r="E3" s="183"/>
      <c r="F3" s="156"/>
      <c r="G3" s="268" t="str">
        <f>Language!A290</f>
        <v>Module</v>
      </c>
      <c r="H3" s="268" t="str">
        <f>Language!A291</f>
        <v>Question</v>
      </c>
      <c r="I3" s="64"/>
    </row>
    <row r="4" spans="1:9">
      <c r="A4" s="374"/>
      <c r="B4" s="195" t="str">
        <f>Language!A292</f>
        <v>Indicate whether the lab has the following FUNCTIONAL pieces of equipment.</v>
      </c>
    </row>
    <row r="5" spans="1:9">
      <c r="A5" s="88" t="s">
        <v>6544</v>
      </c>
      <c r="B5" s="248" t="str">
        <f>'Facility 1'!B40</f>
        <v>Biological Safety Cabinet Class IIA</v>
      </c>
      <c r="C5" s="185">
        <f>'Facility 1'!C40</f>
        <v>0</v>
      </c>
      <c r="D5" s="88" t="s">
        <v>6545</v>
      </c>
      <c r="E5" s="366" t="str">
        <f>IF(C5="No","Red Flag","'")</f>
        <v>'</v>
      </c>
      <c r="F5" s="88">
        <f t="shared" ref="F5:F72" si="0">IF(E5="Red Flag",1,0)</f>
        <v>0</v>
      </c>
      <c r="G5" s="367" t="s">
        <v>6546</v>
      </c>
      <c r="H5" s="368" t="s">
        <v>5561</v>
      </c>
    </row>
    <row r="6" spans="1:9">
      <c r="A6" s="88"/>
      <c r="B6" s="195" t="str">
        <f>Language!A293</f>
        <v>Has calibration been performed within the last year?</v>
      </c>
      <c r="C6" s="185"/>
      <c r="D6" s="88"/>
      <c r="E6" s="361"/>
      <c r="F6" s="361"/>
      <c r="G6" s="361"/>
      <c r="H6" s="369"/>
    </row>
    <row r="7" spans="1:9">
      <c r="A7" s="88" t="s">
        <v>6547</v>
      </c>
      <c r="B7" s="248" t="str">
        <f>'Facility 1'!B64</f>
        <v>Biological Safety Cabinet Class IIA</v>
      </c>
      <c r="C7" s="185">
        <f>'Facility 1'!C64</f>
        <v>0</v>
      </c>
      <c r="D7" s="88" t="s">
        <v>6545</v>
      </c>
      <c r="E7" s="366" t="str">
        <f>IF(C7="No","Red Flag","'")</f>
        <v>'</v>
      </c>
      <c r="F7" s="88">
        <f t="shared" si="0"/>
        <v>0</v>
      </c>
      <c r="G7" s="367" t="s">
        <v>6546</v>
      </c>
      <c r="H7" s="368" t="s">
        <v>5580</v>
      </c>
    </row>
    <row r="8" spans="1:9">
      <c r="A8" s="88" t="s">
        <v>6548</v>
      </c>
      <c r="B8" s="166" t="str">
        <f>'LIS 2'!B54</f>
        <v>If the LIS software automatically interprets zone sizes or MICs, are the breakpoints updated annually?</v>
      </c>
      <c r="C8" s="185">
        <f>'LIS 2'!F54</f>
        <v>0</v>
      </c>
      <c r="D8" s="88" t="s">
        <v>6545</v>
      </c>
      <c r="E8" s="366" t="str">
        <f>IF(C8="No","Red Flag","'")</f>
        <v>'</v>
      </c>
      <c r="F8" s="88">
        <f t="shared" ref="F8:F11" si="1">IF(E8="Red Flag",1,0)</f>
        <v>0</v>
      </c>
      <c r="G8" s="367" t="s">
        <v>6549</v>
      </c>
      <c r="H8" s="369" t="s">
        <v>5702</v>
      </c>
    </row>
    <row r="9" spans="1:9">
      <c r="A9" s="88" t="s">
        <v>6550</v>
      </c>
      <c r="B9" s="166" t="str">
        <f>'LIS 2'!B55</f>
        <v xml:space="preserve">If the LIS software automatically interprets zone sizes or MICs, are the breakpoints up to date today? </v>
      </c>
      <c r="C9" s="185">
        <f>'LIS 2'!F55</f>
        <v>0</v>
      </c>
      <c r="D9" s="88" t="s">
        <v>6545</v>
      </c>
      <c r="E9" s="366" t="str">
        <f>IF(C9="No","Red Flag",IF(C9="Don't Know","Red Flag","'"))</f>
        <v>'</v>
      </c>
      <c r="F9" s="88">
        <f t="shared" si="1"/>
        <v>0</v>
      </c>
      <c r="G9" s="367" t="s">
        <v>6549</v>
      </c>
      <c r="H9" s="369" t="s">
        <v>5703</v>
      </c>
    </row>
    <row r="10" spans="1:9">
      <c r="A10" s="88" t="s">
        <v>6551</v>
      </c>
      <c r="B10" s="166" t="str">
        <f>'Data Mgmt 3'!B9</f>
        <v>Does the laboratory use the same patient ID numbers assigned by the hospital and/or clinics?</v>
      </c>
      <c r="C10" s="185">
        <f>'Data Mgmt 3'!F9</f>
        <v>0</v>
      </c>
      <c r="D10" s="88" t="s">
        <v>6545</v>
      </c>
      <c r="E10" s="366" t="str">
        <f>IF(C10="No","Red Flag","'")</f>
        <v>'</v>
      </c>
      <c r="F10" s="88">
        <f t="shared" si="1"/>
        <v>0</v>
      </c>
      <c r="G10" s="367" t="s">
        <v>6552</v>
      </c>
      <c r="H10" s="369" t="s">
        <v>5716</v>
      </c>
    </row>
    <row r="11" spans="1:9">
      <c r="A11" s="88" t="s">
        <v>6553</v>
      </c>
      <c r="B11" s="166" t="str">
        <f>'Data Mgmt 3'!B10</f>
        <v>Does the laboratory assign a unique specimen ID number to each specimen received in the lab?</v>
      </c>
      <c r="C11" s="185">
        <f>'Data Mgmt 3'!F10</f>
        <v>0</v>
      </c>
      <c r="D11" s="88" t="s">
        <v>6545</v>
      </c>
      <c r="E11" s="366" t="str">
        <f>IF(C11="No","Red Flag","'")</f>
        <v>'</v>
      </c>
      <c r="F11" s="88">
        <f t="shared" si="1"/>
        <v>0</v>
      </c>
      <c r="G11" s="367" t="s">
        <v>6552</v>
      </c>
      <c r="H11" s="369" t="s">
        <v>5717</v>
      </c>
    </row>
    <row r="12" spans="1:9">
      <c r="A12" s="88" t="s">
        <v>6554</v>
      </c>
      <c r="B12" s="163" t="str">
        <f>'Data Mgmt 3'!B11</f>
        <v>Are specimen numbers assigned in such a way that no two specimens are given the same number during one year?</v>
      </c>
      <c r="C12" s="185">
        <f>'Data Mgmt 3'!C11</f>
        <v>0</v>
      </c>
      <c r="D12" s="88" t="s">
        <v>6545</v>
      </c>
      <c r="E12" s="366" t="str">
        <f>IF(C12="No","Red Flag","'")</f>
        <v>'</v>
      </c>
      <c r="F12" s="88">
        <f t="shared" si="0"/>
        <v>0</v>
      </c>
      <c r="G12" s="367" t="s">
        <v>6552</v>
      </c>
      <c r="H12" s="369" t="s">
        <v>5718</v>
      </c>
    </row>
    <row r="13" spans="1:9">
      <c r="A13" s="88" t="s">
        <v>6555</v>
      </c>
      <c r="B13" s="163" t="str">
        <f>'Data Mgmt 3'!B81</f>
        <v xml:space="preserve">What method is used to back up the lab’s electronic patient records? </v>
      </c>
      <c r="C13" s="185">
        <f>'Data Mgmt 3'!C81</f>
        <v>0</v>
      </c>
      <c r="D13" s="88" t="s">
        <v>6556</v>
      </c>
      <c r="E13" s="366" t="str">
        <f>IF(C13=3,"Red Flag",IF(C13=4,"Red Flag","'"))</f>
        <v>'</v>
      </c>
      <c r="F13" s="88">
        <f t="shared" si="0"/>
        <v>0</v>
      </c>
      <c r="G13" s="367" t="s">
        <v>6552</v>
      </c>
      <c r="H13" s="369" t="s">
        <v>5761</v>
      </c>
    </row>
    <row r="14" spans="1:9">
      <c r="A14" s="88" t="s">
        <v>6557</v>
      </c>
      <c r="B14" s="163" t="str">
        <f>'QA 4'!B41</f>
        <v>Are patient results reported if QC of media, ID method, or AST method was not performed?</v>
      </c>
      <c r="C14" s="185">
        <f>'QA 4'!C41</f>
        <v>0</v>
      </c>
      <c r="D14" s="88" t="s">
        <v>6558</v>
      </c>
      <c r="E14" s="366" t="str">
        <f>IF(C14="Yes","Red Flag","'")</f>
        <v>'</v>
      </c>
      <c r="F14" s="88">
        <f t="shared" si="0"/>
        <v>0</v>
      </c>
      <c r="G14" s="367" t="s">
        <v>6559</v>
      </c>
      <c r="H14" s="369" t="s">
        <v>5811</v>
      </c>
    </row>
    <row r="15" spans="1:9" ht="27.6" customHeight="1">
      <c r="A15" s="88" t="s">
        <v>6560</v>
      </c>
      <c r="B15" s="163" t="str">
        <f>'QA 4'!B42</f>
        <v>Are patient results reported if QC of media, ID method, or AST method failed to produce acceptable results?</v>
      </c>
      <c r="C15" s="185">
        <f>'QA 4'!C42</f>
        <v>0</v>
      </c>
      <c r="D15" s="88" t="s">
        <v>6558</v>
      </c>
      <c r="E15" s="366" t="str">
        <f>IF(C15="Yes","Red Flag","'")</f>
        <v>'</v>
      </c>
      <c r="F15" s="88">
        <f t="shared" si="0"/>
        <v>0</v>
      </c>
      <c r="G15" s="367" t="s">
        <v>6559</v>
      </c>
      <c r="H15" s="369" t="s">
        <v>5812</v>
      </c>
    </row>
    <row r="16" spans="1:9" ht="27.6" customHeight="1">
      <c r="A16" s="88" t="s">
        <v>6561</v>
      </c>
      <c r="B16" s="163" t="str">
        <f>'AST QC 7'!B36</f>
        <v>Is antibiotic disk QC performed before placing newly received lot numbers/shipments into use? (Review QC records to confirm)</v>
      </c>
      <c r="C16" s="185">
        <f>'AST QC 7'!C36</f>
        <v>0</v>
      </c>
      <c r="D16" s="88" t="s">
        <v>6545</v>
      </c>
      <c r="E16" s="366" t="str">
        <f>IF(C16="No","Red Flag","'")</f>
        <v>'</v>
      </c>
      <c r="F16" s="88">
        <f t="shared" si="0"/>
        <v>0</v>
      </c>
      <c r="G16" s="367" t="s">
        <v>354</v>
      </c>
      <c r="H16" s="369" t="s">
        <v>6023</v>
      </c>
    </row>
    <row r="17" spans="1:8" ht="27.6" customHeight="1">
      <c r="A17" s="88" t="s">
        <v>6562</v>
      </c>
      <c r="B17" s="163" t="str">
        <f>'AST QC 7'!B41</f>
        <v>Not including new lot QC, how often is antibiotic disk QC performed? (Confirm by reviewing QC records; go back several months)</v>
      </c>
      <c r="C17" s="185">
        <f>'AST QC 7'!C41</f>
        <v>0</v>
      </c>
      <c r="D17" s="88">
        <v>5</v>
      </c>
      <c r="E17" s="366" t="str">
        <f>IF(C17=5,"Red Flag","'")</f>
        <v>'</v>
      </c>
      <c r="F17" s="88">
        <f t="shared" si="0"/>
        <v>0</v>
      </c>
      <c r="G17" s="367" t="s">
        <v>354</v>
      </c>
      <c r="H17" s="369" t="s">
        <v>6025</v>
      </c>
    </row>
    <row r="18" spans="1:8" ht="27.6" customHeight="1">
      <c r="A18" s="88" t="s">
        <v>6563</v>
      </c>
      <c r="B18" s="163" t="str">
        <f>'AST QC 7'!B53</f>
        <v>Is gradient strip QC performed before placing new lot numbers/shipments into use? (Review QC records to confirm)</v>
      </c>
      <c r="C18" s="185">
        <f>'AST QC 7'!C53</f>
        <v>0</v>
      </c>
      <c r="D18" s="88" t="s">
        <v>6545</v>
      </c>
      <c r="E18" s="366" t="str">
        <f>IF(C18="No","Red Flag","'")</f>
        <v>'</v>
      </c>
      <c r="F18" s="88">
        <f t="shared" si="0"/>
        <v>0</v>
      </c>
      <c r="G18" s="367" t="s">
        <v>354</v>
      </c>
      <c r="H18" s="369" t="s">
        <v>6032</v>
      </c>
    </row>
    <row r="19" spans="1:8" ht="27.6" customHeight="1">
      <c r="A19" s="88" t="s">
        <v>6564</v>
      </c>
      <c r="B19" s="163" t="str">
        <f>'AST QC 7'!B55</f>
        <v>Not including new lot QC, how often is antibiotic strip QC performed? (Confirm by reviewing QC records; go back several months)</v>
      </c>
      <c r="C19" s="185">
        <f>'AST QC 7'!C55</f>
        <v>0</v>
      </c>
      <c r="D19" s="88">
        <v>5</v>
      </c>
      <c r="E19" s="366" t="str">
        <f>IF(C19=5,"Red Flag","'")</f>
        <v>'</v>
      </c>
      <c r="F19" s="88">
        <f t="shared" si="0"/>
        <v>0</v>
      </c>
      <c r="G19" s="367" t="s">
        <v>354</v>
      </c>
      <c r="H19" s="369" t="s">
        <v>6034</v>
      </c>
    </row>
    <row r="20" spans="1:8" ht="27.6" customHeight="1">
      <c r="A20" s="88" t="s">
        <v>6565</v>
      </c>
      <c r="B20" s="163" t="str">
        <f>'AST QC 7'!B68</f>
        <v>Is QC of the antibiotic cards/trays performed before placing new lot numbers/shipments into use? (Review QC records to confirm)</v>
      </c>
      <c r="C20" s="185">
        <f>'AST QC 7'!C68</f>
        <v>0</v>
      </c>
      <c r="D20" s="88" t="s">
        <v>6545</v>
      </c>
      <c r="E20" s="366" t="str">
        <f>IF(C20="No","Red Flag","'")</f>
        <v>'</v>
      </c>
      <c r="F20" s="88">
        <f t="shared" si="0"/>
        <v>0</v>
      </c>
      <c r="G20" s="367" t="s">
        <v>354</v>
      </c>
      <c r="H20" s="369" t="s">
        <v>6042</v>
      </c>
    </row>
    <row r="21" spans="1:8" ht="27.6" customHeight="1">
      <c r="A21" s="88" t="s">
        <v>6566</v>
      </c>
      <c r="B21" s="163" t="str">
        <f>'AST QC 7'!B70</f>
        <v>Not including new lot QC, how often is antibiotic card/tray QC performed? (Confirm by reviewing QC records; go back several months)</v>
      </c>
      <c r="C21" s="185">
        <f>'AST QC 7'!C70</f>
        <v>0</v>
      </c>
      <c r="D21" s="88">
        <v>5</v>
      </c>
      <c r="E21" s="366" t="str">
        <f>IF(C21=5,"Red Flag","'")</f>
        <v>'</v>
      </c>
      <c r="F21" s="88">
        <f t="shared" si="0"/>
        <v>0</v>
      </c>
      <c r="G21" s="367" t="s">
        <v>354</v>
      </c>
      <c r="H21" s="369" t="s">
        <v>6044</v>
      </c>
    </row>
    <row r="22" spans="1:8" ht="27.6" customHeight="1">
      <c r="A22" s="88" t="s">
        <v>6567</v>
      </c>
      <c r="B22" s="163" t="str">
        <f>'Specimen 8'!B5</f>
        <v>Does the lab enforce a two-identifier system? (e.g., both patient name and a numeric identifier must be present on the requisition and on the specimen).</v>
      </c>
      <c r="C22" s="185">
        <f>'Specimen 8'!C5</f>
        <v>0</v>
      </c>
      <c r="D22" s="88" t="s">
        <v>6545</v>
      </c>
      <c r="E22" s="366" t="str">
        <f>IF(C22="No","Red Flag","'")</f>
        <v>'</v>
      </c>
      <c r="F22" s="88">
        <f t="shared" si="0"/>
        <v>0</v>
      </c>
      <c r="G22" s="367" t="s">
        <v>6568</v>
      </c>
      <c r="H22" s="369" t="s">
        <v>6051</v>
      </c>
    </row>
    <row r="23" spans="1:8">
      <c r="A23" s="88" t="s">
        <v>6569</v>
      </c>
      <c r="B23" s="163" t="str">
        <f>'Specimen 8'!B29</f>
        <v>Are unlabeled specimens rejected?</v>
      </c>
      <c r="C23" s="185">
        <f>'Specimen 8'!C29</f>
        <v>0</v>
      </c>
      <c r="D23" s="88" t="s">
        <v>6545</v>
      </c>
      <c r="E23" s="366" t="str">
        <f>IF(C23="No","Red Flag","'")</f>
        <v>'</v>
      </c>
      <c r="F23" s="88">
        <f t="shared" si="0"/>
        <v>0</v>
      </c>
      <c r="G23" s="367" t="s">
        <v>6568</v>
      </c>
      <c r="H23" s="369" t="s">
        <v>6070</v>
      </c>
    </row>
    <row r="24" spans="1:8">
      <c r="A24" s="88" t="s">
        <v>6570</v>
      </c>
      <c r="B24" s="163" t="str">
        <f>'Specimen 8'!B30</f>
        <v>Are mislabeled specimens rejected?</v>
      </c>
      <c r="C24" s="185">
        <f>'Specimen 8'!C30</f>
        <v>0</v>
      </c>
      <c r="D24" s="88" t="s">
        <v>6545</v>
      </c>
      <c r="E24" s="366" t="str">
        <f>IF(C24="No","Red Flag","'")</f>
        <v>'</v>
      </c>
      <c r="F24" s="88">
        <f t="shared" si="0"/>
        <v>0</v>
      </c>
      <c r="G24" s="367" t="s">
        <v>6568</v>
      </c>
      <c r="H24" s="369" t="s">
        <v>6071</v>
      </c>
    </row>
    <row r="25" spans="1:8" ht="27.6" customHeight="1">
      <c r="A25" s="88" t="s">
        <v>6571</v>
      </c>
      <c r="B25" s="163" t="str">
        <f>'Specimen 8'!B36</f>
        <v>When specimens are rejected, does the lab notify the ward or clinic immediately so that a new specimen may be collected?</v>
      </c>
      <c r="C25" s="185">
        <f>'Specimen 8'!C36</f>
        <v>0</v>
      </c>
      <c r="D25" s="88" t="s">
        <v>6545</v>
      </c>
      <c r="E25" s="366" t="str">
        <f>IF(C25="No","Red Flag","'")</f>
        <v>'</v>
      </c>
      <c r="F25" s="88">
        <f t="shared" si="0"/>
        <v>0</v>
      </c>
      <c r="G25" s="367" t="s">
        <v>6568</v>
      </c>
      <c r="H25" s="369" t="s">
        <v>6077</v>
      </c>
    </row>
    <row r="26" spans="1:8">
      <c r="A26" s="88" t="s">
        <v>6572</v>
      </c>
      <c r="B26" s="163" t="str">
        <f>'Processing 9'!B7</f>
        <v>If the Gram stain from the bottle is positive, does the lab call the result to the physician immediately?</v>
      </c>
      <c r="C26" s="185">
        <f>'Processing 9'!C7</f>
        <v>0</v>
      </c>
      <c r="D26" s="88" t="s">
        <v>6545</v>
      </c>
      <c r="E26" s="366" t="str">
        <f t="shared" ref="E26:E27" si="2">IF(C26="No","Red Flag","'")</f>
        <v>'</v>
      </c>
      <c r="F26" s="88">
        <f t="shared" si="0"/>
        <v>0</v>
      </c>
      <c r="G26" s="367" t="s">
        <v>6573</v>
      </c>
      <c r="H26" s="369" t="s">
        <v>6111</v>
      </c>
    </row>
    <row r="27" spans="1:8" ht="27.6" customHeight="1">
      <c r="A27" s="88" t="s">
        <v>6574</v>
      </c>
      <c r="B27" s="163" t="str">
        <f>'Processing 9'!B8</f>
        <v xml:space="preserve">When a positive blood culture broth is subcultured, is a chocolate plate included to ensure recovery of fastidious organisms? </v>
      </c>
      <c r="C27" s="185">
        <f>'Processing 9'!C8</f>
        <v>0</v>
      </c>
      <c r="D27" s="88" t="s">
        <v>6545</v>
      </c>
      <c r="E27" s="366" t="str">
        <f t="shared" si="2"/>
        <v>'</v>
      </c>
      <c r="F27" s="88">
        <f t="shared" si="0"/>
        <v>0</v>
      </c>
      <c r="G27" s="367" t="s">
        <v>6573</v>
      </c>
      <c r="H27" s="369" t="s">
        <v>6112</v>
      </c>
    </row>
    <row r="28" spans="1:8">
      <c r="A28" s="88" t="s">
        <v>6575</v>
      </c>
      <c r="B28" s="163" t="str">
        <f>'Processing 9'!B9</f>
        <v>Does the lab inoculate more than one patient sample on the same petri dish?</v>
      </c>
      <c r="C28" s="185">
        <f>'Processing 9'!C9</f>
        <v>0</v>
      </c>
      <c r="D28" s="88" t="s">
        <v>6545</v>
      </c>
      <c r="E28" s="366" t="str">
        <f>IF(C28="Yes","Red Flag","'")</f>
        <v>'</v>
      </c>
      <c r="F28" s="88">
        <f t="shared" si="0"/>
        <v>0</v>
      </c>
      <c r="G28" s="367" t="s">
        <v>6573</v>
      </c>
      <c r="H28" s="369" t="s">
        <v>6113</v>
      </c>
    </row>
    <row r="29" spans="1:8">
      <c r="A29" s="88" t="s">
        <v>6576</v>
      </c>
      <c r="B29" s="163" t="str">
        <f>'Processing 9'!B12</f>
        <v>Does the lab perform AST on organisms that are possible contaminants?</v>
      </c>
      <c r="C29" s="185">
        <f>'Processing 9'!C12</f>
        <v>0</v>
      </c>
      <c r="D29" s="88" t="s">
        <v>6558</v>
      </c>
      <c r="E29" s="366" t="str">
        <f>IF(C29="Yes","Red Flag","'")</f>
        <v>'</v>
      </c>
      <c r="F29" s="88">
        <f t="shared" si="0"/>
        <v>0</v>
      </c>
      <c r="G29" s="367" t="s">
        <v>6573</v>
      </c>
      <c r="H29" s="369" t="s">
        <v>6115</v>
      </c>
    </row>
    <row r="30" spans="1:8">
      <c r="A30" s="88" t="s">
        <v>6577</v>
      </c>
      <c r="B30" s="163" t="str">
        <f>'Processing 9'!B37</f>
        <v>Does the lab inoculate more than one patient sample on the same petri dish?</v>
      </c>
      <c r="C30" s="185">
        <f>'Processing 9'!C37</f>
        <v>0</v>
      </c>
      <c r="D30" s="88" t="s">
        <v>6558</v>
      </c>
      <c r="E30" s="366" t="str">
        <f>IF(C30="Yes","Red Flag","'")</f>
        <v>'</v>
      </c>
      <c r="F30" s="88">
        <f t="shared" si="0"/>
        <v>0</v>
      </c>
      <c r="G30" s="367" t="s">
        <v>6573</v>
      </c>
      <c r="H30" s="369" t="s">
        <v>6123</v>
      </c>
    </row>
    <row r="31" spans="1:8">
      <c r="A31" s="88" t="s">
        <v>6578</v>
      </c>
      <c r="B31" s="163" t="str">
        <f>'Processing 9'!B52</f>
        <v>Does the lab inoculate more than one patient sample on the same petri dish?</v>
      </c>
      <c r="C31" s="185">
        <f>'Processing 9'!C52</f>
        <v>0</v>
      </c>
      <c r="D31" s="88" t="s">
        <v>6558</v>
      </c>
      <c r="E31" s="366" t="str">
        <f>IF(C31="Yes","Red Flag","'")</f>
        <v>'</v>
      </c>
      <c r="F31" s="88">
        <f t="shared" si="0"/>
        <v>0</v>
      </c>
      <c r="G31" s="367" t="s">
        <v>6573</v>
      </c>
      <c r="H31" s="369" t="s">
        <v>6579</v>
      </c>
    </row>
    <row r="32" spans="1:8">
      <c r="A32" s="88" t="s">
        <v>6580</v>
      </c>
      <c r="B32" s="163" t="str">
        <f>'Identification 10'!B18</f>
        <v>Is catalase testing performed prior to coagulase testing on suspected Staphylococcus isolates?</v>
      </c>
      <c r="C32" s="185">
        <f>'Identification 10'!C18</f>
        <v>0</v>
      </c>
      <c r="D32" s="88" t="s">
        <v>6581</v>
      </c>
      <c r="E32" s="366" t="str">
        <f>IF(C32=2,"Red Flag",IF(C32=3,"Red Flag","'"))</f>
        <v>'</v>
      </c>
      <c r="F32" s="88">
        <f t="shared" si="0"/>
        <v>0</v>
      </c>
      <c r="G32" s="367" t="s">
        <v>6582</v>
      </c>
      <c r="H32" s="369" t="s">
        <v>6132</v>
      </c>
    </row>
    <row r="33" spans="1:8">
      <c r="A33" s="88" t="s">
        <v>6583</v>
      </c>
      <c r="B33" s="163" t="str">
        <f>'Identification 10'!B29</f>
        <v>Are negative slide coagulase results confirmed with a tube coagulase test before being reported?</v>
      </c>
      <c r="C33" s="185">
        <f>'Identification 10'!C29</f>
        <v>0</v>
      </c>
      <c r="D33" s="88" t="s">
        <v>6581</v>
      </c>
      <c r="E33" s="366" t="str">
        <f>IF(C33=2,"Red Flag",IF(C33=3,"Red Flag","'"))</f>
        <v>'</v>
      </c>
      <c r="F33" s="88">
        <f t="shared" si="0"/>
        <v>0</v>
      </c>
      <c r="G33" s="367" t="s">
        <v>6582</v>
      </c>
      <c r="H33" s="369" t="s">
        <v>6140</v>
      </c>
    </row>
    <row r="34" spans="1:8" ht="27.6" customHeight="1">
      <c r="A34" s="88" t="s">
        <v>6584</v>
      </c>
      <c r="B34" s="163" t="str">
        <f>'Identification 10'!B79</f>
        <v>If the Optochin result is equivocal (9-13mm), is bile solubility or other additional testing performed to confirm the ID?</v>
      </c>
      <c r="C34" s="185">
        <f>'Identification 10'!C79</f>
        <v>0</v>
      </c>
      <c r="D34" s="88" t="s">
        <v>6545</v>
      </c>
      <c r="E34" s="366" t="str">
        <f t="shared" ref="E34:E36" si="3">IF(C34="No","Red Flag","'")</f>
        <v>'</v>
      </c>
      <c r="F34" s="88">
        <f t="shared" si="0"/>
        <v>0</v>
      </c>
      <c r="G34" s="367" t="s">
        <v>6582</v>
      </c>
      <c r="H34" s="369" t="s">
        <v>6178</v>
      </c>
    </row>
    <row r="35" spans="1:8" ht="41.55" customHeight="1">
      <c r="A35" s="88" t="s">
        <v>6585</v>
      </c>
      <c r="B35" s="163" t="str">
        <f>'Identification 10'!B218</f>
        <v>When an ID result (bionumber) does not reach the threshold for an acceptable identification, is there evidence that appropriate action is taken, such as repeating the test by another method or performing additional biochemical tests?</v>
      </c>
      <c r="C35" s="185">
        <f>'Identification 10'!C218</f>
        <v>0</v>
      </c>
      <c r="D35" s="88" t="s">
        <v>6545</v>
      </c>
      <c r="E35" s="366" t="str">
        <f t="shared" ref="E35" si="4">IF(C35="No","Red Flag","'")</f>
        <v>'</v>
      </c>
      <c r="F35" s="88">
        <f>IF(E35="Red Flag",1,0)</f>
        <v>0</v>
      </c>
      <c r="G35" s="367" t="s">
        <v>6582</v>
      </c>
      <c r="H35" s="369" t="s">
        <v>6292</v>
      </c>
    </row>
    <row r="36" spans="1:8" ht="27.6" customHeight="1">
      <c r="A36" s="88" t="s">
        <v>6586</v>
      </c>
      <c r="B36" s="163" t="str">
        <f>'Identification 10'!B232</f>
        <v>When the instrument software flags an ID result as questionable, is there evidence that appropriate action is taken, such as repeating the test by another method or performing additional biochemical tests?</v>
      </c>
      <c r="C36" s="370">
        <f>'Identification 10'!C232</f>
        <v>0</v>
      </c>
      <c r="D36" s="88" t="s">
        <v>6545</v>
      </c>
      <c r="E36" s="366" t="str">
        <f t="shared" si="3"/>
        <v>'</v>
      </c>
      <c r="F36" s="88">
        <f t="shared" si="0"/>
        <v>0</v>
      </c>
      <c r="G36" s="367" t="s">
        <v>6582</v>
      </c>
      <c r="H36" s="369" t="s">
        <v>6301</v>
      </c>
    </row>
    <row r="37" spans="1:8">
      <c r="A37" s="88" t="s">
        <v>6587</v>
      </c>
      <c r="B37" s="166" t="str">
        <f>'Basic AST 11'!B20</f>
        <v>Does the lab ever intentionally mix two different organisms in the same inoculum for AST?</v>
      </c>
      <c r="C37" s="370">
        <f>'Basic AST 11'!C20</f>
        <v>0</v>
      </c>
      <c r="D37" s="88" t="s">
        <v>6558</v>
      </c>
      <c r="E37" s="366" t="str">
        <f>IF(C37="Yes","Red Flag","'")</f>
        <v>'</v>
      </c>
      <c r="F37" s="88">
        <f t="shared" si="0"/>
        <v>0</v>
      </c>
      <c r="G37" s="367" t="s">
        <v>6588</v>
      </c>
      <c r="H37" s="369" t="s">
        <v>6324</v>
      </c>
    </row>
    <row r="38" spans="1:8" ht="27.6" customHeight="1">
      <c r="A38" s="88" t="s">
        <v>6589</v>
      </c>
      <c r="B38" s="166" t="str">
        <f>'Basic AST 11'!B65</f>
        <v>Is there evidence that appropriate actions are taken when the AST instrument software flags an AST result as questionable (such as checking for purity or repeating the test by another method)?</v>
      </c>
      <c r="C38" s="370">
        <f>'Basic AST 11'!C65</f>
        <v>0</v>
      </c>
      <c r="D38" s="88" t="s">
        <v>6545</v>
      </c>
      <c r="E38" s="366" t="str">
        <f t="shared" ref="E38:E40" si="5">IF(C38="No","Red Flag","'")</f>
        <v>'</v>
      </c>
      <c r="F38" s="88">
        <f t="shared" si="0"/>
        <v>0</v>
      </c>
      <c r="G38" s="367" t="s">
        <v>6588</v>
      </c>
      <c r="H38" s="369" t="s">
        <v>6357</v>
      </c>
    </row>
    <row r="39" spans="1:8">
      <c r="A39" s="88" t="s">
        <v>6590</v>
      </c>
      <c r="B39" s="166" t="str">
        <f>'Basic AST 11'!B76</f>
        <v xml:space="preserve">Is there evidence of such actions being taken? </v>
      </c>
      <c r="C39" s="370">
        <f>'Basic AST 11'!C76</f>
        <v>0</v>
      </c>
      <c r="D39" s="88" t="s">
        <v>6545</v>
      </c>
      <c r="E39" s="366" t="str">
        <f t="shared" si="5"/>
        <v>'</v>
      </c>
      <c r="F39" s="88">
        <f t="shared" si="0"/>
        <v>0</v>
      </c>
      <c r="G39" s="367" t="s">
        <v>6588</v>
      </c>
      <c r="H39" s="369" t="s">
        <v>6363</v>
      </c>
    </row>
    <row r="40" spans="1:8" ht="27.6" customHeight="1">
      <c r="A40" s="88" t="s">
        <v>6591</v>
      </c>
      <c r="B40" s="166" t="str">
        <f>'Basic AST 11'!B93</f>
        <v>Look at the cefotaxime disks currently in use. Does the drug concentration correspond correctly to the standard the lab uses? (CLSI breakpoints require 30µg disks, EUCAST breakpoints require 5µg disks).</v>
      </c>
      <c r="C40" s="370">
        <f>'Basic AST 11'!C93</f>
        <v>0</v>
      </c>
      <c r="D40" s="88" t="s">
        <v>6545</v>
      </c>
      <c r="E40" s="366" t="str">
        <f t="shared" si="5"/>
        <v>'</v>
      </c>
      <c r="F40" s="88">
        <f t="shared" si="0"/>
        <v>0</v>
      </c>
      <c r="G40" s="367" t="s">
        <v>6588</v>
      </c>
      <c r="H40" s="369" t="s">
        <v>6373</v>
      </c>
    </row>
    <row r="41" spans="1:8" ht="27.6" customHeight="1">
      <c r="A41" s="88" t="s">
        <v>6592</v>
      </c>
      <c r="B41" s="166" t="str">
        <f>'Basic AST 11'!B94</f>
        <v>Look at the ceftazidime disks currently in use. Does the drug concentration correspond correctly to the standard in use? (CLSI breakpoints require 30µg disks, EUCAST breakpoints require 10µg)</v>
      </c>
      <c r="C41" s="370">
        <f>'Basic AST 11'!C94</f>
        <v>0</v>
      </c>
      <c r="D41" s="88" t="s">
        <v>6545</v>
      </c>
      <c r="E41" s="366" t="str">
        <f t="shared" ref="E41:E42" si="6">IF(C41="No","Red Flag","'")</f>
        <v>'</v>
      </c>
      <c r="F41" s="88">
        <f t="shared" si="0"/>
        <v>0</v>
      </c>
      <c r="G41" s="367" t="s">
        <v>6588</v>
      </c>
      <c r="H41" s="369" t="s">
        <v>6374</v>
      </c>
    </row>
    <row r="42" spans="1:8" ht="27.6" customHeight="1">
      <c r="A42" s="88" t="s">
        <v>6593</v>
      </c>
      <c r="B42" s="166" t="str">
        <f>'Basic AST 11'!B95</f>
        <v>Look at the piperacillin-tazobactam disks currently in use. Does the drug concentration correspond correctly to the standard in use? (CLSI breakpoints require 100/10µg disks, EUCAST breakpoints require 30/6µg disks).</v>
      </c>
      <c r="C42" s="370">
        <f>'Basic AST 11'!C95</f>
        <v>0</v>
      </c>
      <c r="D42" s="88" t="s">
        <v>6545</v>
      </c>
      <c r="E42" s="366" t="str">
        <f t="shared" si="6"/>
        <v>'</v>
      </c>
      <c r="F42" s="88">
        <f t="shared" si="0"/>
        <v>0</v>
      </c>
      <c r="G42" s="367" t="s">
        <v>6588</v>
      </c>
      <c r="H42" s="369" t="s">
        <v>6375</v>
      </c>
    </row>
    <row r="43" spans="1:8" ht="27.6" customHeight="1">
      <c r="A43" s="88"/>
      <c r="B43" s="166" t="str">
        <f>'AST Expert rules 12'!B4</f>
        <v xml:space="preserve">Review a patient AST report for a Salmonella or Shigella isolate. Were any of the following drug classes tested or reported? </v>
      </c>
      <c r="C43" s="371"/>
      <c r="D43" s="88"/>
      <c r="E43" s="372"/>
      <c r="F43" s="337"/>
      <c r="G43" s="337"/>
      <c r="H43" s="369"/>
    </row>
    <row r="44" spans="1:8">
      <c r="A44" s="88" t="s">
        <v>6594</v>
      </c>
      <c r="B44" s="248" t="str">
        <f>'AST Expert rules 12'!B6</f>
        <v>1st generation cephalosporins (cefazolin, cephalothin, cephapirin, cephadrine)</v>
      </c>
      <c r="C44" s="370">
        <f>'AST Expert rules 12'!C6</f>
        <v>0</v>
      </c>
      <c r="D44" s="88" t="s">
        <v>6558</v>
      </c>
      <c r="E44" s="366" t="str">
        <f>IF(C44="Yes","Red Flag","'")</f>
        <v>'</v>
      </c>
      <c r="F44" s="88">
        <f t="shared" si="0"/>
        <v>0</v>
      </c>
      <c r="G44" s="367" t="s">
        <v>6595</v>
      </c>
      <c r="H44" s="369" t="s">
        <v>6376</v>
      </c>
    </row>
    <row r="45" spans="1:8">
      <c r="A45" s="88" t="s">
        <v>6596</v>
      </c>
      <c r="B45" s="248" t="str">
        <f>'AST Expert rules 12'!B7</f>
        <v>2nd generation cephalosporins (cefuroxime, cefonicid, cefamandole)</v>
      </c>
      <c r="C45" s="370">
        <f>'AST Expert rules 12'!C7</f>
        <v>0</v>
      </c>
      <c r="D45" s="88" t="s">
        <v>6558</v>
      </c>
      <c r="E45" s="366" t="str">
        <f t="shared" ref="E45:E48" si="7">IF(C45="Yes","Red Flag","'")</f>
        <v>'</v>
      </c>
      <c r="F45" s="88">
        <f t="shared" si="0"/>
        <v>0</v>
      </c>
      <c r="G45" s="367" t="s">
        <v>6595</v>
      </c>
      <c r="H45" s="369" t="s">
        <v>6377</v>
      </c>
    </row>
    <row r="46" spans="1:8">
      <c r="A46" s="88" t="s">
        <v>6597</v>
      </c>
      <c r="B46" s="248" t="str">
        <f>'AST Expert rules 12'!B8</f>
        <v>Cephamycins (cefoxitin, cefotetan)</v>
      </c>
      <c r="C46" s="370">
        <f>'AST Expert rules 12'!C8</f>
        <v>0</v>
      </c>
      <c r="D46" s="88" t="s">
        <v>6558</v>
      </c>
      <c r="E46" s="366" t="str">
        <f t="shared" si="7"/>
        <v>'</v>
      </c>
      <c r="F46" s="88">
        <f t="shared" si="0"/>
        <v>0</v>
      </c>
      <c r="G46" s="367" t="s">
        <v>6595</v>
      </c>
      <c r="H46" s="369" t="s">
        <v>6378</v>
      </c>
    </row>
    <row r="47" spans="1:8">
      <c r="A47" s="88" t="s">
        <v>6598</v>
      </c>
      <c r="B47" s="248" t="str">
        <f>'AST Expert rules 12'!B9</f>
        <v>Aminoglycosides (gentamicin, tobramycin, amikacin)</v>
      </c>
      <c r="C47" s="370">
        <f>'AST Expert rules 12'!C9</f>
        <v>0</v>
      </c>
      <c r="D47" s="88" t="s">
        <v>6558</v>
      </c>
      <c r="E47" s="366" t="str">
        <f t="shared" si="7"/>
        <v>'</v>
      </c>
      <c r="F47" s="88">
        <f t="shared" si="0"/>
        <v>0</v>
      </c>
      <c r="G47" s="367" t="s">
        <v>6595</v>
      </c>
      <c r="H47" s="369" t="s">
        <v>6379</v>
      </c>
    </row>
    <row r="48" spans="1:8">
      <c r="A48" s="88" t="s">
        <v>6599</v>
      </c>
      <c r="B48" s="166" t="str">
        <f>'AST Expert rules 12'!B10</f>
        <v>Does the lab use Nalidixic Acid to screen Salmonella isolates for ciprofloxacin resistance?</v>
      </c>
      <c r="C48" s="370">
        <f>'AST Expert rules 12'!C10</f>
        <v>0</v>
      </c>
      <c r="D48" s="88" t="s">
        <v>6558</v>
      </c>
      <c r="E48" s="366" t="str">
        <f t="shared" si="7"/>
        <v>'</v>
      </c>
      <c r="F48" s="88">
        <f t="shared" si="0"/>
        <v>0</v>
      </c>
      <c r="G48" s="367" t="s">
        <v>6595</v>
      </c>
      <c r="H48" s="369" t="s">
        <v>6380</v>
      </c>
    </row>
    <row r="49" spans="1:8" ht="27.6" customHeight="1">
      <c r="A49" s="88" t="s">
        <v>6600</v>
      </c>
      <c r="B49" s="166" t="str">
        <f>'AST Expert rules 12'!B11</f>
        <v xml:space="preserve">Compare the lab’s AST bench aids and SOPs to the Salmonella table in the Assessor’s Guide. Does the lab use the correct fluoroquinolone (FQ) breakpoints for Salmonella spp? </v>
      </c>
      <c r="C49" s="370">
        <f>'AST Expert rules 12'!C11</f>
        <v>0</v>
      </c>
      <c r="D49" s="88" t="s">
        <v>6545</v>
      </c>
      <c r="E49" s="366" t="str">
        <f t="shared" ref="E49:E52" si="8">IF(C49="No","Red Flag","'")</f>
        <v>'</v>
      </c>
      <c r="F49" s="88">
        <f t="shared" si="0"/>
        <v>0</v>
      </c>
      <c r="G49" s="367" t="s">
        <v>6595</v>
      </c>
      <c r="H49" s="369" t="s">
        <v>6381</v>
      </c>
    </row>
    <row r="50" spans="1:8" ht="41.55" customHeight="1">
      <c r="A50" s="88" t="s">
        <v>6601</v>
      </c>
      <c r="B50" s="166" t="str">
        <f>'AST Expert rules 12'!B43</f>
        <v>Labs that do NOT use current cephalosporin and aztreonam breakpoints must perform routine ESBL phenotype testing. For ESBL-positive isolates, all penicillins, cephalosporins, and aztreonam that test susceptible must be reported as resistant. Is this practice (changing ESBL + interpretations from S to R) in place?</v>
      </c>
      <c r="C50" s="370">
        <f>'AST Expert rules 12'!C43</f>
        <v>0</v>
      </c>
      <c r="D50" s="88" t="s">
        <v>6545</v>
      </c>
      <c r="E50" s="366" t="str">
        <f t="shared" si="8"/>
        <v>'</v>
      </c>
      <c r="F50" s="88">
        <f t="shared" si="0"/>
        <v>0</v>
      </c>
      <c r="G50" s="367" t="s">
        <v>6595</v>
      </c>
      <c r="H50" s="369" t="s">
        <v>6401</v>
      </c>
    </row>
    <row r="51" spans="1:8" ht="41.55" customHeight="1">
      <c r="A51" s="88" t="s">
        <v>6602</v>
      </c>
      <c r="B51" s="166" t="str">
        <f>'AST Expert rules 12'!B44</f>
        <v>Labs that do NOT use current aztreonam and cephalosporin breakpoints should attach a warning comment to the report for ESBL-positive organisms: “ESBL-producers should be considered clinically resistant to all penicillins, cephalosporins, and aztreonam.” Is this practice in place?</v>
      </c>
      <c r="C51" s="370">
        <f>'AST Expert rules 12'!C44</f>
        <v>0</v>
      </c>
      <c r="D51" s="88" t="s">
        <v>6545</v>
      </c>
      <c r="E51" s="366" t="str">
        <f t="shared" si="8"/>
        <v>'</v>
      </c>
      <c r="F51" s="88">
        <f t="shared" si="0"/>
        <v>0</v>
      </c>
      <c r="G51" s="367" t="s">
        <v>6595</v>
      </c>
      <c r="H51" s="369" t="s">
        <v>6402</v>
      </c>
    </row>
    <row r="52" spans="1:8" ht="55.2" customHeight="1">
      <c r="A52" s="88" t="s">
        <v>6603</v>
      </c>
      <c r="B52" s="166" t="str">
        <f>'AST Expert rules 12'!B56</f>
        <v>Labs that do NOT use current carbapenem breakpoints must perform routine testing for carbapenemase production (e.g., CarbaNP, mCIM, or a molecular assay). If a carbapenemase is detected, all carbapenems that test susceptible must be reported as resistant. Is this practice (changing results from S to R based on positive carbapenemase test result) in place?</v>
      </c>
      <c r="C52" s="370">
        <f>'AST Expert rules 12'!C56</f>
        <v>0</v>
      </c>
      <c r="D52" s="88" t="s">
        <v>6545</v>
      </c>
      <c r="E52" s="366" t="str">
        <f t="shared" si="8"/>
        <v>'</v>
      </c>
      <c r="F52" s="88">
        <f t="shared" si="0"/>
        <v>0</v>
      </c>
      <c r="G52" s="367" t="s">
        <v>6595</v>
      </c>
      <c r="H52" s="369" t="s">
        <v>6604</v>
      </c>
    </row>
    <row r="53" spans="1:8">
      <c r="A53" s="375"/>
      <c r="B53" s="166" t="str">
        <f>'AST Expert rules 12'!B60</f>
        <v>Does the lab perform any of the following phenotypic tests for carbapenemase production?</v>
      </c>
      <c r="C53" s="13"/>
      <c r="D53" s="88"/>
      <c r="E53" s="372"/>
      <c r="F53" s="337"/>
      <c r="G53" s="367"/>
      <c r="H53" s="369"/>
    </row>
    <row r="54" spans="1:8">
      <c r="A54" s="88" t="s">
        <v>6605</v>
      </c>
      <c r="B54" s="248" t="str">
        <f>'AST Expert rules 12'!B61</f>
        <v>Modified Hodge test</v>
      </c>
      <c r="C54" s="370">
        <f>'AST Expert rules 12'!C61</f>
        <v>0</v>
      </c>
      <c r="D54" s="88" t="s">
        <v>6558</v>
      </c>
      <c r="E54" s="366" t="str">
        <f>IF(C54="Yes","Red Flag","'")</f>
        <v>'</v>
      </c>
      <c r="F54" s="88">
        <f t="shared" si="0"/>
        <v>0</v>
      </c>
      <c r="G54" s="367" t="s">
        <v>6595</v>
      </c>
      <c r="H54" s="369" t="s">
        <v>6410</v>
      </c>
    </row>
    <row r="55" spans="1:8">
      <c r="A55" s="375"/>
      <c r="B55" s="166" t="str">
        <f>'AST Expert rules 12'!B76</f>
        <v>Which methods does the lab use for colistin AST? (Check all that apply)</v>
      </c>
      <c r="C55" s="13"/>
      <c r="D55" s="88"/>
      <c r="E55" s="372"/>
      <c r="F55" s="337"/>
      <c r="G55" s="367"/>
      <c r="H55" s="369"/>
    </row>
    <row r="56" spans="1:8">
      <c r="A56" s="88" t="s">
        <v>6606</v>
      </c>
      <c r="B56" s="248" t="str">
        <f>'AST Expert rules 12'!B77</f>
        <v>Disk diffusion</v>
      </c>
      <c r="C56" s="370">
        <f>'AST Expert rules 12'!C77</f>
        <v>0</v>
      </c>
      <c r="D56" s="88" t="s">
        <v>6558</v>
      </c>
      <c r="E56" s="366" t="str">
        <f t="shared" ref="E56:E63" si="9">IF(C56="Yes","Red Flag","'")</f>
        <v>'</v>
      </c>
      <c r="F56" s="88">
        <f t="shared" si="0"/>
        <v>0</v>
      </c>
      <c r="G56" s="367" t="s">
        <v>6595</v>
      </c>
      <c r="H56" s="369" t="s">
        <v>6419</v>
      </c>
    </row>
    <row r="57" spans="1:8">
      <c r="A57" s="88" t="s">
        <v>6607</v>
      </c>
      <c r="B57" s="248" t="str">
        <f>'AST Expert rules 12'!B78</f>
        <v>Gradient strip (e.g., Etest/Liofilchem)</v>
      </c>
      <c r="C57" s="370">
        <f>'AST Expert rules 12'!C78</f>
        <v>0</v>
      </c>
      <c r="D57" s="88" t="s">
        <v>6558</v>
      </c>
      <c r="E57" s="366" t="str">
        <f t="shared" si="9"/>
        <v>'</v>
      </c>
      <c r="F57" s="88">
        <f t="shared" si="0"/>
        <v>0</v>
      </c>
      <c r="G57" s="367" t="s">
        <v>6595</v>
      </c>
      <c r="H57" s="369" t="s">
        <v>6420</v>
      </c>
    </row>
    <row r="58" spans="1:8">
      <c r="A58" s="88" t="s">
        <v>6608</v>
      </c>
      <c r="B58" s="248" t="str">
        <f>'AST Expert rules 12'!B79</f>
        <v>Automated instrument (e.g., Vitek/Phoenix)</v>
      </c>
      <c r="C58" s="370">
        <f>'AST Expert rules 12'!C79</f>
        <v>0</v>
      </c>
      <c r="D58" s="88" t="s">
        <v>6558</v>
      </c>
      <c r="E58" s="366" t="str">
        <f t="shared" si="9"/>
        <v>'</v>
      </c>
      <c r="F58" s="88">
        <f t="shared" si="0"/>
        <v>0</v>
      </c>
      <c r="G58" s="367" t="s">
        <v>6595</v>
      </c>
      <c r="H58" s="369" t="s">
        <v>6421</v>
      </c>
    </row>
    <row r="59" spans="1:8">
      <c r="A59" s="88" t="s">
        <v>6609</v>
      </c>
      <c r="B59" s="248" t="str">
        <f>'AST Expert rules 12'!B80</f>
        <v>Broth microdilution (BMD) with Polysorbate 80</v>
      </c>
      <c r="C59" s="370">
        <f>'AST Expert rules 12'!C80</f>
        <v>0</v>
      </c>
      <c r="D59" s="88" t="s">
        <v>6558</v>
      </c>
      <c r="E59" s="366" t="str">
        <f t="shared" si="9"/>
        <v>'</v>
      </c>
      <c r="F59" s="88">
        <f t="shared" si="0"/>
        <v>0</v>
      </c>
      <c r="G59" s="367" t="s">
        <v>6595</v>
      </c>
      <c r="H59" s="369" t="s">
        <v>6422</v>
      </c>
    </row>
    <row r="60" spans="1:8">
      <c r="A60" s="88" t="s">
        <v>6610</v>
      </c>
      <c r="B60" s="163" t="str">
        <f>'AST Expert rules 12'!B102</f>
        <v>Does the lab use Oxacillin disks to test for MRSA?</v>
      </c>
      <c r="C60" s="370">
        <f>'AST Expert rules 12'!C102</f>
        <v>0</v>
      </c>
      <c r="D60" s="88" t="s">
        <v>6558</v>
      </c>
      <c r="E60" s="366" t="str">
        <f t="shared" si="9"/>
        <v>'</v>
      </c>
      <c r="F60" s="88">
        <f t="shared" si="0"/>
        <v>0</v>
      </c>
      <c r="G60" s="367" t="s">
        <v>6595</v>
      </c>
      <c r="H60" s="369" t="s">
        <v>6438</v>
      </c>
    </row>
    <row r="61" spans="1:8" ht="27.6" customHeight="1">
      <c r="A61" s="88" t="s">
        <v>6611</v>
      </c>
      <c r="B61" s="163" t="str">
        <f>'AST Expert rules 12'!B103</f>
        <v xml:space="preserve">When oxacillin and cefoxitin results are discrepant for S. aureus (one is S and one is R), how does the lab report oxacillin? </v>
      </c>
      <c r="C61" s="370">
        <f>'AST Expert rules 12'!C103</f>
        <v>0</v>
      </c>
      <c r="D61" s="88">
        <v>1</v>
      </c>
      <c r="E61" s="373" t="str">
        <f>IF(C61=1,"Red Flag","'")</f>
        <v>'</v>
      </c>
      <c r="F61" s="88">
        <f t="shared" si="0"/>
        <v>0</v>
      </c>
      <c r="G61" s="367" t="s">
        <v>6595</v>
      </c>
      <c r="H61" s="369" t="s">
        <v>6439</v>
      </c>
    </row>
    <row r="62" spans="1:8">
      <c r="A62" s="88" t="s">
        <v>6612</v>
      </c>
      <c r="B62" s="163" t="str">
        <f>'AST Expert rules 12'!B105</f>
        <v>Does the lab perform S. aureus AST on any beta-lactam antibiotics other than penicillin, oxacillin, cefoxitin, or ceftaroline?</v>
      </c>
      <c r="C62" s="370">
        <f>'AST Expert rules 12'!C105</f>
        <v>0</v>
      </c>
      <c r="D62" s="88" t="s">
        <v>6558</v>
      </c>
      <c r="E62" s="366" t="str">
        <f t="shared" si="9"/>
        <v>'</v>
      </c>
      <c r="F62" s="88">
        <f t="shared" si="0"/>
        <v>0</v>
      </c>
      <c r="G62" s="367" t="s">
        <v>6595</v>
      </c>
      <c r="H62" s="369" t="s">
        <v>6440</v>
      </c>
    </row>
    <row r="63" spans="1:8" ht="27.6" customHeight="1">
      <c r="A63" s="88" t="s">
        <v>6613</v>
      </c>
      <c r="B63" s="163" t="str">
        <f>'AST Expert rules 12'!B106</f>
        <v>Does the lab use vancomycin disks to test for VISA/VRSA?</v>
      </c>
      <c r="C63" s="370">
        <f>'AST Expert rules 12'!C106</f>
        <v>0</v>
      </c>
      <c r="D63" s="88" t="s">
        <v>6558</v>
      </c>
      <c r="E63" s="366" t="str">
        <f t="shared" si="9"/>
        <v>'</v>
      </c>
      <c r="F63" s="88">
        <f t="shared" si="0"/>
        <v>0</v>
      </c>
      <c r="G63" s="367" t="s">
        <v>6595</v>
      </c>
      <c r="H63" s="369" t="s">
        <v>6441</v>
      </c>
    </row>
    <row r="64" spans="1:8" ht="27.6" customHeight="1">
      <c r="A64" s="88" t="s">
        <v>6614</v>
      </c>
      <c r="B64" s="163" t="str">
        <f>'AST Expert rules 12'!B111</f>
        <v>Are S. aureus that are resistant to Erythromycin and susceptible or intermediate to Clindamycin tested for inducible clindamycin resistance?</v>
      </c>
      <c r="C64" s="370">
        <f>'AST Expert rules 12'!C111</f>
        <v>0</v>
      </c>
      <c r="D64" s="88" t="s">
        <v>6545</v>
      </c>
      <c r="E64" s="366" t="str">
        <f t="shared" ref="E64" si="10">IF(C64="No","Red Flag","'")</f>
        <v>'</v>
      </c>
      <c r="F64" s="88">
        <f t="shared" si="0"/>
        <v>0</v>
      </c>
      <c r="G64" s="367" t="s">
        <v>6595</v>
      </c>
      <c r="H64" s="369" t="s">
        <v>6444</v>
      </c>
    </row>
    <row r="65" spans="1:8">
      <c r="A65" s="88"/>
      <c r="B65" s="166" t="str">
        <f>'AST Expert rules 12'!B124</f>
        <v>Does the lab use the disk diffusion method to test any of the following antibiotics against S.pneumo?</v>
      </c>
      <c r="C65" s="5"/>
      <c r="D65" s="360"/>
      <c r="E65" s="361"/>
      <c r="F65" s="361"/>
      <c r="G65" s="367"/>
      <c r="H65" s="369"/>
    </row>
    <row r="66" spans="1:8">
      <c r="A66" s="88" t="s">
        <v>6615</v>
      </c>
      <c r="B66" s="248" t="str">
        <f>'AST Expert rules 12'!B125</f>
        <v>Penicillin</v>
      </c>
      <c r="C66" s="370">
        <f>'AST Expert rules 12'!C125</f>
        <v>0</v>
      </c>
      <c r="D66" s="88" t="s">
        <v>6558</v>
      </c>
      <c r="E66" s="366" t="str">
        <f>IF(C66="Yes","Red Flag","'")</f>
        <v>'</v>
      </c>
      <c r="F66" s="88">
        <f t="shared" si="0"/>
        <v>0</v>
      </c>
      <c r="G66" s="367" t="s">
        <v>6595</v>
      </c>
      <c r="H66" s="369" t="s">
        <v>6450</v>
      </c>
    </row>
    <row r="67" spans="1:8">
      <c r="A67" s="88" t="s">
        <v>6616</v>
      </c>
      <c r="B67" s="248" t="str">
        <f>'AST Expert rules 12'!B126</f>
        <v>Amoxicillin</v>
      </c>
      <c r="C67" s="370">
        <f>'AST Expert rules 12'!C126</f>
        <v>0</v>
      </c>
      <c r="D67" s="88" t="s">
        <v>6558</v>
      </c>
      <c r="E67" s="366" t="str">
        <f t="shared" ref="E67:E75" si="11">IF(C67="Yes","Red Flag","'")</f>
        <v>'</v>
      </c>
      <c r="F67" s="88">
        <f t="shared" si="0"/>
        <v>0</v>
      </c>
      <c r="G67" s="367" t="s">
        <v>6595</v>
      </c>
      <c r="H67" s="369" t="s">
        <v>6451</v>
      </c>
    </row>
    <row r="68" spans="1:8">
      <c r="A68" s="88" t="s">
        <v>6617</v>
      </c>
      <c r="B68" s="248" t="str">
        <f>'AST Expert rules 12'!B127</f>
        <v>Ampicillin</v>
      </c>
      <c r="C68" s="370">
        <f>'AST Expert rules 12'!C127</f>
        <v>0</v>
      </c>
      <c r="D68" s="88" t="s">
        <v>6558</v>
      </c>
      <c r="E68" s="366" t="str">
        <f t="shared" si="11"/>
        <v>'</v>
      </c>
      <c r="F68" s="88">
        <f t="shared" si="0"/>
        <v>0</v>
      </c>
      <c r="G68" s="367" t="s">
        <v>6595</v>
      </c>
      <c r="H68" s="369" t="s">
        <v>6452</v>
      </c>
    </row>
    <row r="69" spans="1:8">
      <c r="A69" s="88" t="s">
        <v>6618</v>
      </c>
      <c r="B69" s="248" t="str">
        <f>'AST Expert rules 12'!B128</f>
        <v>Cefotaxime</v>
      </c>
      <c r="C69" s="370">
        <f>'AST Expert rules 12'!C128</f>
        <v>0</v>
      </c>
      <c r="D69" s="88" t="s">
        <v>6558</v>
      </c>
      <c r="E69" s="366" t="str">
        <f t="shared" si="11"/>
        <v>'</v>
      </c>
      <c r="F69" s="88">
        <f t="shared" si="0"/>
        <v>0</v>
      </c>
      <c r="G69" s="367" t="s">
        <v>6595</v>
      </c>
      <c r="H69" s="369" t="s">
        <v>6453</v>
      </c>
    </row>
    <row r="70" spans="1:8">
      <c r="A70" s="88" t="s">
        <v>6619</v>
      </c>
      <c r="B70" s="248" t="str">
        <f>'AST Expert rules 12'!B129</f>
        <v>Ceftriaxone</v>
      </c>
      <c r="C70" s="370">
        <f>'AST Expert rules 12'!C129</f>
        <v>0</v>
      </c>
      <c r="D70" s="88" t="s">
        <v>6558</v>
      </c>
      <c r="E70" s="366" t="str">
        <f t="shared" si="11"/>
        <v>'</v>
      </c>
      <c r="F70" s="88">
        <f t="shared" si="0"/>
        <v>0</v>
      </c>
      <c r="G70" s="367" t="s">
        <v>6595</v>
      </c>
      <c r="H70" s="369" t="s">
        <v>6454</v>
      </c>
    </row>
    <row r="71" spans="1:8">
      <c r="A71" s="88" t="s">
        <v>6620</v>
      </c>
      <c r="B71" s="248" t="str">
        <f>'AST Expert rules 12'!B130</f>
        <v>Cefuroxime</v>
      </c>
      <c r="C71" s="370">
        <f>'AST Expert rules 12'!C130</f>
        <v>0</v>
      </c>
      <c r="D71" s="88" t="s">
        <v>6558</v>
      </c>
      <c r="E71" s="366" t="str">
        <f t="shared" si="11"/>
        <v>'</v>
      </c>
      <c r="F71" s="88">
        <f t="shared" si="0"/>
        <v>0</v>
      </c>
      <c r="G71" s="367" t="s">
        <v>6595</v>
      </c>
      <c r="H71" s="369" t="s">
        <v>6455</v>
      </c>
    </row>
    <row r="72" spans="1:8">
      <c r="A72" s="88" t="s">
        <v>6621</v>
      </c>
      <c r="B72" s="248" t="str">
        <f>'AST Expert rules 12'!B131</f>
        <v>Cefepime</v>
      </c>
      <c r="C72" s="370">
        <f>'AST Expert rules 12'!C131</f>
        <v>0</v>
      </c>
      <c r="D72" s="88" t="s">
        <v>6558</v>
      </c>
      <c r="E72" s="366" t="str">
        <f t="shared" si="11"/>
        <v>'</v>
      </c>
      <c r="F72" s="88">
        <f t="shared" si="0"/>
        <v>0</v>
      </c>
      <c r="G72" s="367" t="s">
        <v>6595</v>
      </c>
      <c r="H72" s="369" t="s">
        <v>6456</v>
      </c>
    </row>
    <row r="73" spans="1:8">
      <c r="A73" s="88" t="s">
        <v>6622</v>
      </c>
      <c r="B73" s="248" t="str">
        <f>'AST Expert rules 12'!B132</f>
        <v>Ertapenem</v>
      </c>
      <c r="C73" s="370">
        <f>'AST Expert rules 12'!C132</f>
        <v>0</v>
      </c>
      <c r="D73" s="88" t="s">
        <v>6558</v>
      </c>
      <c r="E73" s="366" t="str">
        <f t="shared" si="11"/>
        <v>'</v>
      </c>
      <c r="F73" s="88">
        <f t="shared" ref="F73:F114" si="12">IF(E73="Red Flag",1,0)</f>
        <v>0</v>
      </c>
      <c r="G73" s="367" t="s">
        <v>6595</v>
      </c>
      <c r="H73" s="369" t="s">
        <v>6457</v>
      </c>
    </row>
    <row r="74" spans="1:8">
      <c r="A74" s="88" t="s">
        <v>6623</v>
      </c>
      <c r="B74" s="248" t="str">
        <f>'AST Expert rules 12'!B133</f>
        <v>Meropenem</v>
      </c>
      <c r="C74" s="370">
        <f>'AST Expert rules 12'!C133</f>
        <v>0</v>
      </c>
      <c r="D74" s="88" t="s">
        <v>6558</v>
      </c>
      <c r="E74" s="366" t="str">
        <f t="shared" si="11"/>
        <v>'</v>
      </c>
      <c r="F74" s="88">
        <f t="shared" si="12"/>
        <v>0</v>
      </c>
      <c r="G74" s="367" t="s">
        <v>6595</v>
      </c>
      <c r="H74" s="369" t="s">
        <v>6458</v>
      </c>
    </row>
    <row r="75" spans="1:8">
      <c r="A75" s="88" t="s">
        <v>6624</v>
      </c>
      <c r="B75" s="248" t="str">
        <f>'AST Expert rules 12'!B134</f>
        <v>Imipenem</v>
      </c>
      <c r="C75" s="370">
        <f>'AST Expert rules 12'!C134</f>
        <v>0</v>
      </c>
      <c r="D75" s="88" t="s">
        <v>6558</v>
      </c>
      <c r="E75" s="366" t="str">
        <f t="shared" si="11"/>
        <v>'</v>
      </c>
      <c r="F75" s="88">
        <f t="shared" si="12"/>
        <v>0</v>
      </c>
      <c r="G75" s="367" t="s">
        <v>6595</v>
      </c>
      <c r="H75" s="369" t="s">
        <v>6459</v>
      </c>
    </row>
    <row r="76" spans="1:8" ht="27.6" customHeight="1">
      <c r="A76" s="88" t="s">
        <v>6625</v>
      </c>
      <c r="B76" s="163" t="str">
        <f>'AST Expert rules 12'!B140</f>
        <v>Are S. pneumoniae that are resistant to Erythromycin and susceptible or intermediate to Clindamycin tested for inducible clindamycin resistance?</v>
      </c>
      <c r="C76" s="370">
        <f>'AST Expert rules 12'!C140</f>
        <v>0</v>
      </c>
      <c r="D76" s="88" t="s">
        <v>6545</v>
      </c>
      <c r="E76" s="366" t="str">
        <f t="shared" ref="E76:E77" si="13">IF(C76="No","Red Flag","'")</f>
        <v>'</v>
      </c>
      <c r="F76" s="88">
        <f t="shared" si="12"/>
        <v>0</v>
      </c>
      <c r="G76" s="367" t="s">
        <v>6595</v>
      </c>
      <c r="H76" s="369" t="s">
        <v>6464</v>
      </c>
    </row>
    <row r="77" spans="1:8">
      <c r="A77" s="88" t="s">
        <v>6626</v>
      </c>
      <c r="B77" s="163" t="str">
        <f>'AST Expert rules 12'!B148</f>
        <v xml:space="preserve">When the ICR test is positive, is the clindamycin result changed to resistant? </v>
      </c>
      <c r="C77" s="370">
        <f>'AST Expert rules 12'!C148</f>
        <v>0</v>
      </c>
      <c r="D77" s="88" t="s">
        <v>6545</v>
      </c>
      <c r="E77" s="366" t="str">
        <f t="shared" si="13"/>
        <v>'</v>
      </c>
      <c r="F77" s="88">
        <f t="shared" si="12"/>
        <v>0</v>
      </c>
      <c r="G77" s="367" t="s">
        <v>6595</v>
      </c>
      <c r="H77" s="369" t="s">
        <v>6470</v>
      </c>
    </row>
    <row r="78" spans="1:8" ht="27.6" customHeight="1">
      <c r="A78" s="375"/>
      <c r="B78" s="166" t="str">
        <f>'AST Expert rules 12'!B151</f>
        <v xml:space="preserve">Review a patient AST report for a positive CSF culture. Were any of the following drug classes tested or reported? </v>
      </c>
      <c r="C78" s="13"/>
      <c r="D78" s="88"/>
      <c r="E78" s="372"/>
      <c r="F78" s="337"/>
      <c r="G78" s="367"/>
      <c r="H78" s="369"/>
    </row>
    <row r="79" spans="1:8">
      <c r="A79" s="376" t="s">
        <v>6627</v>
      </c>
      <c r="B79" s="248" t="str">
        <f>'AST Expert rules 12'!B153</f>
        <v>1st generation cephalosporins (cefazolin, cephalothin, cephapirin, cephadrine)</v>
      </c>
      <c r="C79" s="370">
        <f>'AST Expert rules 12'!C153</f>
        <v>0</v>
      </c>
      <c r="D79" s="88" t="s">
        <v>6558</v>
      </c>
      <c r="E79" s="366" t="str">
        <f t="shared" ref="E79:E86" si="14">IF(C79="Yes","Red Flag","'")</f>
        <v>'</v>
      </c>
      <c r="F79" s="88">
        <f t="shared" si="12"/>
        <v>0</v>
      </c>
      <c r="G79" s="367" t="s">
        <v>6595</v>
      </c>
      <c r="H79" s="369" t="s">
        <v>6471</v>
      </c>
    </row>
    <row r="80" spans="1:8">
      <c r="A80" s="376" t="s">
        <v>6628</v>
      </c>
      <c r="B80" s="248" t="str">
        <f>'AST Expert rules 12'!B154</f>
        <v>2nd generation cephalosporins (cefuroxime, cefonicid, cefamandole)</v>
      </c>
      <c r="C80" s="370">
        <f>'AST Expert rules 12'!C154</f>
        <v>0</v>
      </c>
      <c r="D80" s="88" t="s">
        <v>6558</v>
      </c>
      <c r="E80" s="366" t="str">
        <f t="shared" si="14"/>
        <v>'</v>
      </c>
      <c r="F80" s="88">
        <f t="shared" si="12"/>
        <v>0</v>
      </c>
      <c r="G80" s="367" t="s">
        <v>6595</v>
      </c>
      <c r="H80" s="369" t="s">
        <v>6472</v>
      </c>
    </row>
    <row r="81" spans="1:8">
      <c r="A81" s="376" t="s">
        <v>6629</v>
      </c>
      <c r="B81" s="248" t="str">
        <f>'AST Expert rules 12'!B155</f>
        <v>Cephamycins (cefoxitin, cefotetan)</v>
      </c>
      <c r="C81" s="370">
        <f>'AST Expert rules 12'!C155</f>
        <v>0</v>
      </c>
      <c r="D81" s="88" t="s">
        <v>6558</v>
      </c>
      <c r="E81" s="366" t="str">
        <f t="shared" si="14"/>
        <v>'</v>
      </c>
      <c r="F81" s="88">
        <f t="shared" si="12"/>
        <v>0</v>
      </c>
      <c r="G81" s="367" t="s">
        <v>6595</v>
      </c>
      <c r="H81" s="369" t="s">
        <v>6473</v>
      </c>
    </row>
    <row r="82" spans="1:8">
      <c r="A82" s="376" t="s">
        <v>6630</v>
      </c>
      <c r="B82" s="248" t="str">
        <f>'AST Expert rules 12'!B156</f>
        <v>Clindamycin</v>
      </c>
      <c r="C82" s="370">
        <f>'AST Expert rules 12'!C156</f>
        <v>0</v>
      </c>
      <c r="D82" s="88" t="s">
        <v>6558</v>
      </c>
      <c r="E82" s="366" t="str">
        <f t="shared" si="14"/>
        <v>'</v>
      </c>
      <c r="F82" s="88">
        <f t="shared" si="12"/>
        <v>0</v>
      </c>
      <c r="G82" s="367" t="s">
        <v>6595</v>
      </c>
      <c r="H82" s="369" t="s">
        <v>6474</v>
      </c>
    </row>
    <row r="83" spans="1:8">
      <c r="A83" s="376" t="s">
        <v>6631</v>
      </c>
      <c r="B83" s="248" t="str">
        <f>'AST Expert rules 12'!B157</f>
        <v>Macrolides (Erythromycin, Azithromycin, Clarithromycin)</v>
      </c>
      <c r="C83" s="370">
        <f>'AST Expert rules 12'!C157</f>
        <v>0</v>
      </c>
      <c r="D83" s="88" t="s">
        <v>6558</v>
      </c>
      <c r="E83" s="366" t="str">
        <f t="shared" si="14"/>
        <v>'</v>
      </c>
      <c r="F83" s="88">
        <f t="shared" si="12"/>
        <v>0</v>
      </c>
      <c r="G83" s="367" t="s">
        <v>6595</v>
      </c>
      <c r="H83" s="369" t="s">
        <v>6475</v>
      </c>
    </row>
    <row r="84" spans="1:8">
      <c r="A84" s="376" t="s">
        <v>6632</v>
      </c>
      <c r="B84" s="248" t="str">
        <f>'AST Expert rules 12'!B158</f>
        <v>Tetracyclines (Tetracycline, Minocycline, Doxycycline)</v>
      </c>
      <c r="C84" s="370">
        <f>'AST Expert rules 12'!C158</f>
        <v>0</v>
      </c>
      <c r="D84" s="88" t="s">
        <v>6558</v>
      </c>
      <c r="E84" s="366" t="str">
        <f t="shared" si="14"/>
        <v>'</v>
      </c>
      <c r="F84" s="88">
        <f t="shared" si="12"/>
        <v>0</v>
      </c>
      <c r="G84" s="367" t="s">
        <v>6595</v>
      </c>
      <c r="H84" s="369" t="s">
        <v>6476</v>
      </c>
    </row>
    <row r="85" spans="1:8">
      <c r="A85" s="376" t="s">
        <v>6633</v>
      </c>
      <c r="B85" s="248" t="str">
        <f>'AST Expert rules 12'!B159</f>
        <v>Fluoroquinolones (Ciprofloxacin, Levofloxacin, Moxifloxacin)</v>
      </c>
      <c r="C85" s="370">
        <f>'AST Expert rules 12'!C159</f>
        <v>0</v>
      </c>
      <c r="D85" s="88" t="s">
        <v>6558</v>
      </c>
      <c r="E85" s="366" t="str">
        <f t="shared" si="14"/>
        <v>'</v>
      </c>
      <c r="F85" s="88">
        <f t="shared" si="12"/>
        <v>0</v>
      </c>
      <c r="G85" s="367" t="s">
        <v>6595</v>
      </c>
      <c r="H85" s="369" t="s">
        <v>6477</v>
      </c>
    </row>
    <row r="86" spans="1:8">
      <c r="A86" s="376" t="s">
        <v>6634</v>
      </c>
      <c r="B86" s="248" t="str">
        <f>'AST Expert rules 12'!B160</f>
        <v>Nitrofurantoin</v>
      </c>
      <c r="C86" s="370">
        <f>'AST Expert rules 12'!C160</f>
        <v>0</v>
      </c>
      <c r="D86" s="88" t="s">
        <v>6558</v>
      </c>
      <c r="E86" s="366" t="str">
        <f t="shared" si="14"/>
        <v>'</v>
      </c>
      <c r="F86" s="88">
        <f t="shared" si="12"/>
        <v>0</v>
      </c>
      <c r="G86" s="367" t="s">
        <v>6595</v>
      </c>
      <c r="H86" s="369" t="s">
        <v>6478</v>
      </c>
    </row>
    <row r="87" spans="1:8" ht="27.6" customHeight="1">
      <c r="A87" s="376" t="s">
        <v>6635</v>
      </c>
      <c r="B87" s="163" t="str">
        <f>'AST Policy 13'!B43</f>
        <v>If the lab practices cascade reporting, is it done in a way which ensures that the AST results excluded from the patient report are NOT excluded from the LIS or other main data repository?</v>
      </c>
      <c r="C87" s="370">
        <f>'AST Policy 13'!C43</f>
        <v>0</v>
      </c>
      <c r="D87" s="88" t="s">
        <v>6545</v>
      </c>
      <c r="E87" s="366" t="str">
        <f>IF(C87="No","Red Flag","'")</f>
        <v>'</v>
      </c>
      <c r="F87" s="88">
        <f t="shared" si="12"/>
        <v>0</v>
      </c>
      <c r="G87" s="88" t="s">
        <v>6636</v>
      </c>
      <c r="H87" s="369" t="s">
        <v>6506</v>
      </c>
    </row>
    <row r="88" spans="1:8">
      <c r="A88" s="88"/>
      <c r="B88" s="166" t="str">
        <f>Safety!B4</f>
        <v>Is standard safety equipment available and in use in the laboratory?</v>
      </c>
      <c r="C88" s="13"/>
      <c r="D88" s="88"/>
      <c r="E88" s="372"/>
      <c r="F88" s="337"/>
      <c r="G88" s="337"/>
      <c r="H88" s="369"/>
    </row>
    <row r="89" spans="1:8">
      <c r="A89" s="88" t="s">
        <v>6637</v>
      </c>
      <c r="B89" s="248" t="str">
        <f>Safety!B5</f>
        <v>Biosafety cabinets (Class IIA)</v>
      </c>
      <c r="C89" s="370">
        <f>Safety!C5</f>
        <v>0</v>
      </c>
      <c r="D89" s="88" t="s">
        <v>6545</v>
      </c>
      <c r="E89" s="366" t="str">
        <f>IF(C89="No","Red Flag","'")</f>
        <v>'</v>
      </c>
      <c r="F89" s="88">
        <f t="shared" si="12"/>
        <v>0</v>
      </c>
      <c r="G89" s="88" t="s">
        <v>6638</v>
      </c>
      <c r="H89" s="369" t="s">
        <v>6512</v>
      </c>
    </row>
    <row r="90" spans="1:8">
      <c r="A90" s="88" t="s">
        <v>6639</v>
      </c>
      <c r="B90" s="248" t="str">
        <f>Safety!B6</f>
        <v>Covers on each centrifuge bucket</v>
      </c>
      <c r="C90" s="370">
        <f>Safety!C6</f>
        <v>0</v>
      </c>
      <c r="D90" s="88" t="s">
        <v>6545</v>
      </c>
      <c r="E90" s="366" t="str">
        <f t="shared" ref="E90:E100" si="15">IF(C90="No","Red Flag","'")</f>
        <v>'</v>
      </c>
      <c r="F90" s="88">
        <f t="shared" si="12"/>
        <v>0</v>
      </c>
      <c r="G90" s="88" t="s">
        <v>6638</v>
      </c>
      <c r="H90" s="369" t="s">
        <v>6513</v>
      </c>
    </row>
    <row r="91" spans="1:8">
      <c r="A91" s="88" t="s">
        <v>6640</v>
      </c>
      <c r="B91" s="248" t="str">
        <f>Safety!B7</f>
        <v>Cover over centrifuge rotor</v>
      </c>
      <c r="C91" s="370">
        <f>Safety!C7</f>
        <v>0</v>
      </c>
      <c r="D91" s="88" t="s">
        <v>6545</v>
      </c>
      <c r="E91" s="366" t="str">
        <f t="shared" si="15"/>
        <v>'</v>
      </c>
      <c r="F91" s="88">
        <f t="shared" si="12"/>
        <v>0</v>
      </c>
      <c r="G91" s="88" t="s">
        <v>6638</v>
      </c>
      <c r="H91" s="369" t="s">
        <v>6514</v>
      </c>
    </row>
    <row r="92" spans="1:8">
      <c r="A92" s="88" t="s">
        <v>6641</v>
      </c>
      <c r="B92" s="248" t="str">
        <f>Safety!B8</f>
        <v>Hand-washing station</v>
      </c>
      <c r="C92" s="370">
        <f>Safety!C8</f>
        <v>0</v>
      </c>
      <c r="D92" s="88" t="s">
        <v>6545</v>
      </c>
      <c r="E92" s="366" t="str">
        <f t="shared" si="15"/>
        <v>'</v>
      </c>
      <c r="F92" s="88">
        <f t="shared" si="12"/>
        <v>0</v>
      </c>
      <c r="G92" s="88" t="s">
        <v>6638</v>
      </c>
      <c r="H92" s="369" t="s">
        <v>6515</v>
      </c>
    </row>
    <row r="93" spans="1:8">
      <c r="A93" s="88" t="s">
        <v>6642</v>
      </c>
      <c r="B93" s="248" t="str">
        <f>Safety!B9</f>
        <v>Eyewash station/bottle</v>
      </c>
      <c r="C93" s="370">
        <f>Safety!C9</f>
        <v>0</v>
      </c>
      <c r="D93" s="88" t="s">
        <v>6545</v>
      </c>
      <c r="E93" s="366" t="str">
        <f t="shared" si="15"/>
        <v>'</v>
      </c>
      <c r="F93" s="88">
        <f t="shared" si="12"/>
        <v>0</v>
      </c>
      <c r="G93" s="88" t="s">
        <v>6638</v>
      </c>
      <c r="H93" s="369" t="s">
        <v>6516</v>
      </c>
    </row>
    <row r="94" spans="1:8">
      <c r="A94" s="88" t="s">
        <v>6643</v>
      </c>
      <c r="B94" s="248" t="str">
        <f>Safety!B10</f>
        <v>Sharps containers</v>
      </c>
      <c r="C94" s="370">
        <f>Safety!C10</f>
        <v>0</v>
      </c>
      <c r="D94" s="88" t="s">
        <v>6545</v>
      </c>
      <c r="E94" s="366" t="str">
        <f t="shared" si="15"/>
        <v>'</v>
      </c>
      <c r="F94" s="88">
        <f t="shared" si="12"/>
        <v>0</v>
      </c>
      <c r="G94" s="88" t="s">
        <v>6638</v>
      </c>
      <c r="H94" s="369" t="s">
        <v>6517</v>
      </c>
    </row>
    <row r="95" spans="1:8">
      <c r="A95" s="88" t="s">
        <v>6644</v>
      </c>
      <c r="B95" s="248" t="str">
        <f>Safety!B11</f>
        <v>Flame cabinet (for securely storing flammable liquids, e.g. ethanol)</v>
      </c>
      <c r="C95" s="370">
        <f>Safety!C11</f>
        <v>0</v>
      </c>
      <c r="D95" s="88" t="s">
        <v>6545</v>
      </c>
      <c r="E95" s="366" t="str">
        <f t="shared" si="15"/>
        <v>'</v>
      </c>
      <c r="F95" s="88">
        <f t="shared" si="12"/>
        <v>0</v>
      </c>
      <c r="G95" s="88" t="s">
        <v>6638</v>
      </c>
      <c r="H95" s="369" t="s">
        <v>6518</v>
      </c>
    </row>
    <row r="96" spans="1:8">
      <c r="A96" s="88" t="s">
        <v>6645</v>
      </c>
      <c r="B96" s="248" t="str">
        <f>Safety!B12</f>
        <v>Spill kit</v>
      </c>
      <c r="C96" s="370">
        <f>Safety!C12</f>
        <v>0</v>
      </c>
      <c r="D96" s="88" t="s">
        <v>6545</v>
      </c>
      <c r="E96" s="366" t="str">
        <f t="shared" si="15"/>
        <v>'</v>
      </c>
      <c r="F96" s="88">
        <f t="shared" si="12"/>
        <v>0</v>
      </c>
      <c r="G96" s="88" t="s">
        <v>6638</v>
      </c>
      <c r="H96" s="369" t="s">
        <v>6519</v>
      </c>
    </row>
    <row r="97" spans="1:14">
      <c r="A97" s="88" t="s">
        <v>6646</v>
      </c>
      <c r="B97" s="248" t="str">
        <f>Safety!B13</f>
        <v>First aid kit</v>
      </c>
      <c r="C97" s="370">
        <f>Safety!C13</f>
        <v>0</v>
      </c>
      <c r="D97" s="88" t="s">
        <v>6545</v>
      </c>
      <c r="E97" s="366" t="str">
        <f t="shared" si="15"/>
        <v>'</v>
      </c>
      <c r="F97" s="88">
        <f t="shared" si="12"/>
        <v>0</v>
      </c>
      <c r="G97" s="88" t="s">
        <v>6638</v>
      </c>
      <c r="H97" s="369" t="s">
        <v>6520</v>
      </c>
    </row>
    <row r="98" spans="1:14">
      <c r="A98" s="88" t="s">
        <v>6647</v>
      </c>
      <c r="B98" s="163" t="str">
        <f>Safety!B16</f>
        <v xml:space="preserve">Have all biosafety cabinets been recertified within a year of today’s date? </v>
      </c>
      <c r="C98" s="370">
        <f>Safety!C16</f>
        <v>0</v>
      </c>
      <c r="D98" s="88" t="s">
        <v>6545</v>
      </c>
      <c r="E98" s="366" t="str">
        <f t="shared" si="15"/>
        <v>'</v>
      </c>
      <c r="F98" s="88">
        <f t="shared" si="12"/>
        <v>0</v>
      </c>
      <c r="G98" s="88" t="s">
        <v>6638</v>
      </c>
      <c r="H98" s="369" t="s">
        <v>6521</v>
      </c>
    </row>
    <row r="99" spans="1:14">
      <c r="A99" s="88"/>
      <c r="B99" s="166" t="str">
        <f>Safety!B19</f>
        <v>Is all necessary personal protective equipment (PPE) available for BSL2?</v>
      </c>
      <c r="C99" s="13"/>
      <c r="D99" s="88"/>
      <c r="E99" s="372"/>
      <c r="F99" s="337"/>
      <c r="G99" s="88"/>
      <c r="H99" s="369"/>
    </row>
    <row r="100" spans="1:14">
      <c r="A100" s="88" t="s">
        <v>6648</v>
      </c>
      <c r="B100" s="248" t="str">
        <f>Safety!B20</f>
        <v>Gowns</v>
      </c>
      <c r="C100" s="370">
        <f>Safety!C20</f>
        <v>0</v>
      </c>
      <c r="D100" s="88" t="s">
        <v>6545</v>
      </c>
      <c r="E100" s="366" t="str">
        <f t="shared" si="15"/>
        <v>'</v>
      </c>
      <c r="F100" s="88">
        <f t="shared" si="12"/>
        <v>0</v>
      </c>
      <c r="G100" s="88" t="s">
        <v>6638</v>
      </c>
      <c r="H100" s="369" t="s">
        <v>6522</v>
      </c>
    </row>
    <row r="101" spans="1:14">
      <c r="A101" s="88" t="s">
        <v>6649</v>
      </c>
      <c r="B101" s="248" t="str">
        <f>Safety!B21</f>
        <v>Gloves</v>
      </c>
      <c r="C101" s="370">
        <f>Safety!C21</f>
        <v>0</v>
      </c>
      <c r="D101" s="88" t="s">
        <v>6545</v>
      </c>
      <c r="E101" s="366" t="str">
        <f t="shared" ref="E101:E108" si="16">IF(C101="No","Red Flag","'")</f>
        <v>'</v>
      </c>
      <c r="F101" s="88">
        <f t="shared" si="12"/>
        <v>0</v>
      </c>
      <c r="G101" s="88" t="s">
        <v>6638</v>
      </c>
      <c r="H101" s="369" t="s">
        <v>6523</v>
      </c>
    </row>
    <row r="102" spans="1:14">
      <c r="A102" s="88" t="s">
        <v>6650</v>
      </c>
      <c r="B102" s="248" t="str">
        <f>Safety!B22</f>
        <v>Eye protection</v>
      </c>
      <c r="C102" s="370">
        <f>Safety!C22</f>
        <v>0</v>
      </c>
      <c r="D102" s="88" t="s">
        <v>6545</v>
      </c>
      <c r="E102" s="366" t="str">
        <f t="shared" si="16"/>
        <v>'</v>
      </c>
      <c r="F102" s="88">
        <f t="shared" si="12"/>
        <v>0</v>
      </c>
      <c r="G102" s="88" t="s">
        <v>6638</v>
      </c>
      <c r="H102" s="369" t="s">
        <v>6524</v>
      </c>
    </row>
    <row r="103" spans="1:14">
      <c r="A103" s="88" t="s">
        <v>6651</v>
      </c>
      <c r="B103" s="248" t="str">
        <f>Safety!B23</f>
        <v>Aerosol face protection (respirator, face shield, or splatter guard)</v>
      </c>
      <c r="C103" s="370">
        <f>Safety!C23</f>
        <v>0</v>
      </c>
      <c r="D103" s="88" t="s">
        <v>6545</v>
      </c>
      <c r="E103" s="366" t="str">
        <f t="shared" si="16"/>
        <v>'</v>
      </c>
      <c r="F103" s="88">
        <f t="shared" si="12"/>
        <v>0</v>
      </c>
      <c r="G103" s="88" t="s">
        <v>6638</v>
      </c>
      <c r="H103" s="369" t="s">
        <v>6525</v>
      </c>
    </row>
    <row r="104" spans="1:14">
      <c r="A104" s="88" t="s">
        <v>6652</v>
      </c>
      <c r="B104" s="163" t="str">
        <f>Safety!B24</f>
        <v>Does lab policy require microbiology staff to wear close-toed shoes?</v>
      </c>
      <c r="C104" s="370">
        <f>Safety!C24</f>
        <v>0</v>
      </c>
      <c r="D104" s="88" t="s">
        <v>6545</v>
      </c>
      <c r="E104" s="366" t="str">
        <f t="shared" si="16"/>
        <v>'</v>
      </c>
      <c r="F104" s="88">
        <f t="shared" si="12"/>
        <v>0</v>
      </c>
      <c r="G104" s="88" t="s">
        <v>6638</v>
      </c>
      <c r="H104" s="369" t="s">
        <v>6526</v>
      </c>
    </row>
    <row r="105" spans="1:14">
      <c r="A105" s="88" t="s">
        <v>6653</v>
      </c>
      <c r="B105" s="163" t="str">
        <f>Safety!B25</f>
        <v>Is PPE utilized appropriately and consistently by laboratory staff? (Observe)</v>
      </c>
      <c r="C105" s="370">
        <f>Safety!C25</f>
        <v>0</v>
      </c>
      <c r="D105" s="88" t="s">
        <v>6581</v>
      </c>
      <c r="E105" s="366" t="str">
        <f>IF(C105=2,"Red Flag",IF(C105=3,"Red Flag","'"))</f>
        <v>'</v>
      </c>
      <c r="F105" s="88">
        <f t="shared" si="12"/>
        <v>0</v>
      </c>
      <c r="G105" s="88" t="s">
        <v>6638</v>
      </c>
      <c r="H105" s="369" t="s">
        <v>6527</v>
      </c>
    </row>
    <row r="106" spans="1:14">
      <c r="A106" s="88" t="s">
        <v>6654</v>
      </c>
      <c r="B106" s="166" t="str">
        <f>Safety!B30</f>
        <v>Does lab policy prohibit eating, drinking, and smoking in the laboratory?</v>
      </c>
      <c r="C106" s="370">
        <f>Safety!C30</f>
        <v>0</v>
      </c>
      <c r="D106" s="88" t="s">
        <v>6545</v>
      </c>
      <c r="E106" s="366" t="str">
        <f t="shared" si="16"/>
        <v>'</v>
      </c>
      <c r="F106" s="88">
        <f t="shared" si="12"/>
        <v>0</v>
      </c>
      <c r="G106" s="88" t="s">
        <v>6638</v>
      </c>
      <c r="H106" s="369" t="s">
        <v>6528</v>
      </c>
    </row>
    <row r="107" spans="1:14">
      <c r="A107" s="88"/>
      <c r="B107" s="166" t="str">
        <f>Safety!B31</f>
        <v>Observe the refrigerators and freezers where media and reagents are stored. Are they:</v>
      </c>
      <c r="C107" s="13"/>
      <c r="D107" s="88"/>
      <c r="E107" s="372"/>
      <c r="F107" s="337"/>
      <c r="G107" s="88"/>
      <c r="H107" s="369"/>
    </row>
    <row r="108" spans="1:14">
      <c r="A108" s="88" t="s">
        <v>6655</v>
      </c>
      <c r="B108" s="248" t="str">
        <f>Safety!B32</f>
        <v>Designated specifically for storage of media/reagents?</v>
      </c>
      <c r="C108" s="370">
        <f>Safety!C32</f>
        <v>0</v>
      </c>
      <c r="D108" s="88" t="s">
        <v>6545</v>
      </c>
      <c r="E108" s="366" t="str">
        <f t="shared" si="16"/>
        <v>'</v>
      </c>
      <c r="F108" s="88">
        <f t="shared" si="12"/>
        <v>0</v>
      </c>
      <c r="G108" s="88" t="s">
        <v>6638</v>
      </c>
      <c r="H108" s="369" t="s">
        <v>6529</v>
      </c>
    </row>
    <row r="109" spans="1:14">
      <c r="A109" s="88" t="s">
        <v>6656</v>
      </c>
      <c r="B109" s="248" t="str">
        <f>Safety!B33</f>
        <v>Free of staff food items?</v>
      </c>
      <c r="C109" s="370">
        <f>Safety!C33</f>
        <v>0</v>
      </c>
      <c r="D109" s="88" t="s">
        <v>6545</v>
      </c>
      <c r="E109" s="366" t="str">
        <f t="shared" ref="E109:E114" si="17">IF(C109="No","Red Flag","'")</f>
        <v>'</v>
      </c>
      <c r="F109" s="88">
        <f t="shared" si="12"/>
        <v>0</v>
      </c>
      <c r="G109" s="88" t="s">
        <v>6638</v>
      </c>
      <c r="H109" s="369" t="s">
        <v>6530</v>
      </c>
    </row>
    <row r="110" spans="1:14">
      <c r="A110" s="88" t="s">
        <v>6657</v>
      </c>
      <c r="B110" s="248" t="str">
        <f>Safety!B34</f>
        <v>Free of patient samples?</v>
      </c>
      <c r="C110" s="370">
        <f>Safety!C34</f>
        <v>0</v>
      </c>
      <c r="D110" s="88" t="s">
        <v>6545</v>
      </c>
      <c r="E110" s="366" t="str">
        <f t="shared" si="17"/>
        <v>'</v>
      </c>
      <c r="F110" s="88">
        <f t="shared" si="12"/>
        <v>0</v>
      </c>
      <c r="G110" s="88" t="s">
        <v>6638</v>
      </c>
      <c r="H110" s="369" t="s">
        <v>6531</v>
      </c>
      <c r="N110" s="106"/>
    </row>
    <row r="111" spans="1:14">
      <c r="A111" s="88" t="s">
        <v>6658</v>
      </c>
      <c r="B111" s="248" t="str">
        <f>Safety!B35</f>
        <v>Well organized and free of clutter?</v>
      </c>
      <c r="C111" s="370">
        <f>Safety!C35</f>
        <v>0</v>
      </c>
      <c r="D111" s="88" t="s">
        <v>6545</v>
      </c>
      <c r="E111" s="366" t="str">
        <f t="shared" si="17"/>
        <v>'</v>
      </c>
      <c r="F111" s="88">
        <f t="shared" si="12"/>
        <v>0</v>
      </c>
      <c r="G111" s="88" t="s">
        <v>6638</v>
      </c>
      <c r="H111" s="369" t="s">
        <v>6532</v>
      </c>
      <c r="N111" s="106"/>
    </row>
    <row r="112" spans="1:14" ht="27.6" customHeight="1">
      <c r="A112" s="88" t="s">
        <v>6659</v>
      </c>
      <c r="B112" s="166" t="str">
        <f>Safety!B36</f>
        <v>Are all hazardous chemicals stored appropriately (acids separate from alkaline; flammables in a flame cabinet)?</v>
      </c>
      <c r="C112" s="370">
        <f>Safety!C36</f>
        <v>0</v>
      </c>
      <c r="D112" s="88" t="s">
        <v>6545</v>
      </c>
      <c r="E112" s="366" t="str">
        <f t="shared" si="17"/>
        <v>'</v>
      </c>
      <c r="F112" s="88">
        <f t="shared" si="12"/>
        <v>0</v>
      </c>
      <c r="G112" s="88" t="s">
        <v>6638</v>
      </c>
      <c r="H112" s="369" t="s">
        <v>6533</v>
      </c>
      <c r="N112" s="106"/>
    </row>
    <row r="113" spans="1:14">
      <c r="A113" s="88" t="s">
        <v>6660</v>
      </c>
      <c r="B113" s="166" t="str">
        <f>Safety!B37</f>
        <v xml:space="preserve">Is work area (bench and hood) disinfection documented daily? </v>
      </c>
      <c r="C113" s="370">
        <f>Safety!C37</f>
        <v>0</v>
      </c>
      <c r="D113" s="88" t="s">
        <v>6545</v>
      </c>
      <c r="E113" s="366" t="str">
        <f t="shared" si="17"/>
        <v>'</v>
      </c>
      <c r="F113" s="88">
        <f t="shared" si="12"/>
        <v>0</v>
      </c>
      <c r="G113" s="88" t="s">
        <v>6638</v>
      </c>
      <c r="H113" s="369" t="s">
        <v>6534</v>
      </c>
      <c r="N113" s="106"/>
    </row>
    <row r="114" spans="1:14" ht="27.6" customHeight="1">
      <c r="A114" s="88" t="s">
        <v>6661</v>
      </c>
      <c r="B114" s="166" t="str">
        <f>Safety!B43</f>
        <v>Is there documentation demonstrating that an annual safety/biosafety refresher course is conducted for all staff handling specimens, isolates, or chemicals?</v>
      </c>
      <c r="C114" s="370">
        <f>Safety!C43</f>
        <v>0</v>
      </c>
      <c r="D114" s="88" t="s">
        <v>6545</v>
      </c>
      <c r="E114" s="366" t="str">
        <f t="shared" si="17"/>
        <v>'</v>
      </c>
      <c r="F114" s="88">
        <f t="shared" si="12"/>
        <v>0</v>
      </c>
      <c r="G114" s="88" t="s">
        <v>6638</v>
      </c>
      <c r="H114" s="369" t="s">
        <v>6537</v>
      </c>
      <c r="N114" s="106"/>
    </row>
    <row r="115" spans="1:14">
      <c r="N115" s="106"/>
    </row>
    <row r="116" spans="1:14">
      <c r="C116" s="186" t="str">
        <f>Language!A296</f>
        <v>Total number of Red Flags</v>
      </c>
      <c r="D116" s="186"/>
      <c r="E116" s="177">
        <f>SUM(F3:F116)</f>
        <v>0</v>
      </c>
      <c r="N116" s="106"/>
    </row>
    <row r="117" spans="1:14">
      <c r="B117" s="397" t="str">
        <f>Language!A285</f>
        <v>Training Opportunities highlight areas where sufficient training is frequently lacking</v>
      </c>
      <c r="C117" s="156"/>
      <c r="D117" s="40"/>
      <c r="E117" s="183"/>
      <c r="F117" s="156"/>
      <c r="G117" s="156"/>
      <c r="H117" s="335"/>
      <c r="I117" s="64"/>
    </row>
    <row r="118" spans="1:14">
      <c r="B118" s="45" t="str">
        <f>Language!A294</f>
        <v>Training Opportunities</v>
      </c>
      <c r="C118" s="268" t="str">
        <f>Language!A288</f>
        <v>Response</v>
      </c>
      <c r="D118" s="268" t="str">
        <f>Language!A289</f>
        <v>Trigger</v>
      </c>
      <c r="E118" s="183"/>
      <c r="F118" s="156"/>
      <c r="G118" s="268" t="str">
        <f>Language!A290</f>
        <v>Module</v>
      </c>
      <c r="H118" s="380" t="str">
        <f>Language!A291</f>
        <v>Question</v>
      </c>
      <c r="N118" s="106"/>
    </row>
    <row r="119" spans="1:14" ht="27.6" customHeight="1">
      <c r="A119" s="88" t="s">
        <v>6662</v>
      </c>
      <c r="B119" s="163" t="str">
        <f>'QA 4'!B6</f>
        <v>Is there documentation showing that the Quality Officers and Focal Points have received appropriate training in Quality Management Systems (QMS)?</v>
      </c>
      <c r="C119" s="88">
        <f>'QA 4'!C6</f>
        <v>0</v>
      </c>
      <c r="D119" s="376" t="s">
        <v>6581</v>
      </c>
      <c r="E119" s="377" t="str">
        <f>IF(C119=2,"Training Opportunity",IF(C119=3,"Training Opportunity","'"))</f>
        <v>'</v>
      </c>
      <c r="F119" s="88">
        <f t="shared" ref="F119" si="18">IF(E119="Training Opportunity",1,0)</f>
        <v>0</v>
      </c>
      <c r="G119" s="88" t="s">
        <v>6559</v>
      </c>
      <c r="H119" s="369" t="s">
        <v>5788</v>
      </c>
      <c r="N119" s="106"/>
    </row>
    <row r="120" spans="1:14" ht="27.6" customHeight="1">
      <c r="A120" s="88" t="s">
        <v>6663</v>
      </c>
      <c r="B120" s="163" t="str">
        <f>'QA 4'!B12</f>
        <v xml:space="preserve">Is there documentation showing that the Supervisor/Quality Officer received training on how to effectively troubleshoot QC failures? </v>
      </c>
      <c r="C120" s="88">
        <f>'QA 4'!C12</f>
        <v>0</v>
      </c>
      <c r="D120" s="376" t="s">
        <v>6581</v>
      </c>
      <c r="E120" s="377" t="str">
        <f t="shared" ref="E120:E127" si="19">IF(C120=2,"Training Opportunity",IF(C120=3,"Training Opportunity","'"))</f>
        <v>'</v>
      </c>
      <c r="F120" s="88">
        <f t="shared" ref="F120:F128" si="20">IF(E120="Training Opportunity",1,0)</f>
        <v>0</v>
      </c>
      <c r="G120" s="88" t="s">
        <v>6559</v>
      </c>
      <c r="H120" s="369" t="s">
        <v>5791</v>
      </c>
      <c r="N120" s="106"/>
    </row>
    <row r="121" spans="1:14" ht="27.6" customHeight="1">
      <c r="A121" s="88" t="s">
        <v>6664</v>
      </c>
      <c r="B121" s="163" t="str">
        <f>'QA 4'!B39</f>
        <v>Is there evidence the supervisor or Quality Officer has received adequate training on how to perform root-cause analysis of QC failures?</v>
      </c>
      <c r="C121" s="185">
        <f>'QA 4'!C39</f>
        <v>0</v>
      </c>
      <c r="D121" s="376" t="s">
        <v>6581</v>
      </c>
      <c r="E121" s="377" t="str">
        <f t="shared" si="19"/>
        <v>'</v>
      </c>
      <c r="F121" s="88">
        <f t="shared" si="20"/>
        <v>0</v>
      </c>
      <c r="G121" s="88" t="s">
        <v>6559</v>
      </c>
      <c r="H121" s="369" t="s">
        <v>5810</v>
      </c>
      <c r="N121" s="106"/>
    </row>
    <row r="122" spans="1:14" ht="27.6" customHeight="1">
      <c r="A122" s="88" t="s">
        <v>6665</v>
      </c>
      <c r="B122" s="163" t="str">
        <f>'QA 4'!B65</f>
        <v>Is there evidence the supervisor or Quality Officer has received adequate training on how to perform root-cause analysis for EQA failures?</v>
      </c>
      <c r="C122" s="185">
        <f>'QA 4'!C65</f>
        <v>0</v>
      </c>
      <c r="D122" s="376" t="s">
        <v>6581</v>
      </c>
      <c r="E122" s="377" t="str">
        <f t="shared" si="19"/>
        <v>'</v>
      </c>
      <c r="F122" s="88">
        <f t="shared" si="20"/>
        <v>0</v>
      </c>
      <c r="G122" s="88" t="s">
        <v>6559</v>
      </c>
      <c r="H122" s="369" t="s">
        <v>5825</v>
      </c>
      <c r="N122" s="106"/>
    </row>
    <row r="123" spans="1:14" ht="27.6" customHeight="1">
      <c r="A123" s="88" t="s">
        <v>6666</v>
      </c>
      <c r="B123" s="163" t="str">
        <f>'Processing 9'!B39</f>
        <v xml:space="preserve">Have technologists been adequately trained to recognize a poorly collected urine specimen (predominance of fecal or skin flora) based on the relative quantities, types, and mix of organisms present? </v>
      </c>
      <c r="C123" s="185">
        <f>'Processing 9'!C39</f>
        <v>0</v>
      </c>
      <c r="D123" s="376" t="s">
        <v>6581</v>
      </c>
      <c r="E123" s="377" t="str">
        <f t="shared" si="19"/>
        <v>'</v>
      </c>
      <c r="F123" s="88">
        <f t="shared" si="20"/>
        <v>0</v>
      </c>
      <c r="G123" s="88" t="s">
        <v>6573</v>
      </c>
      <c r="H123" s="369" t="s">
        <v>6125</v>
      </c>
      <c r="N123" s="106"/>
    </row>
    <row r="124" spans="1:14" ht="27.6" customHeight="1">
      <c r="A124" s="88" t="s">
        <v>6667</v>
      </c>
      <c r="B124" s="166" t="str">
        <f>'Basic AST 11'!B67</f>
        <v>Is there evidence that microbiology staff have received adequate training to recognize intrinsic resistance patterns? (Check SOPs and training/competence assessment records )</v>
      </c>
      <c r="C124" s="88">
        <f>'Basic AST 11'!C67</f>
        <v>0</v>
      </c>
      <c r="D124" s="376" t="s">
        <v>6581</v>
      </c>
      <c r="E124" s="377" t="str">
        <f t="shared" si="19"/>
        <v>'</v>
      </c>
      <c r="F124" s="88">
        <f t="shared" si="20"/>
        <v>0</v>
      </c>
      <c r="G124" s="88" t="s">
        <v>6588</v>
      </c>
      <c r="H124" s="369" t="s">
        <v>6358</v>
      </c>
      <c r="N124" s="106"/>
    </row>
    <row r="125" spans="1:14" ht="41.55" customHeight="1">
      <c r="A125" s="88" t="s">
        <v>6668</v>
      </c>
      <c r="B125" s="163" t="str">
        <f>'Basic AST 11'!B71</f>
        <v>Is there evidence that microbiology staff have received adequate training to recognize unusual or unexpected AST results that might require investigation? (e.g. Klebsiella spp. S to ampicillin; Staphylococcus spp. I/R to vancomycin)</v>
      </c>
      <c r="C125" s="185">
        <f>'Basic AST 11'!C71</f>
        <v>0</v>
      </c>
      <c r="D125" s="376" t="s">
        <v>6581</v>
      </c>
      <c r="E125" s="377" t="str">
        <f t="shared" si="19"/>
        <v>'</v>
      </c>
      <c r="F125" s="88">
        <f t="shared" si="20"/>
        <v>0</v>
      </c>
      <c r="G125" s="88" t="s">
        <v>6588</v>
      </c>
      <c r="H125" s="369" t="s">
        <v>6360</v>
      </c>
      <c r="N125" s="106"/>
    </row>
    <row r="126" spans="1:14">
      <c r="A126" s="88" t="s">
        <v>6669</v>
      </c>
      <c r="B126" s="163" t="str">
        <f>'Basic AST 11'!B79</f>
        <v>Is there evidence that the supervisor received appropriate training on how to recognize unusual AST findings?</v>
      </c>
      <c r="C126" s="185">
        <f>'Basic AST 11'!C79</f>
        <v>0</v>
      </c>
      <c r="D126" s="376" t="s">
        <v>6581</v>
      </c>
      <c r="E126" s="377" t="str">
        <f t="shared" si="19"/>
        <v>'</v>
      </c>
      <c r="F126" s="88">
        <f t="shared" si="20"/>
        <v>0</v>
      </c>
      <c r="G126" s="88" t="s">
        <v>6588</v>
      </c>
      <c r="H126" s="369" t="s">
        <v>6366</v>
      </c>
      <c r="N126" s="106"/>
    </row>
    <row r="127" spans="1:14" ht="27.6" customHeight="1">
      <c r="A127" s="88" t="s">
        <v>6670</v>
      </c>
      <c r="B127" s="163" t="str">
        <f>'Basic AST 11'!B91</f>
        <v>Is there evidence that microbiology staff have received adequate training on how to use the CLSI M100 or EUCAST documents effectively? (1: Yes - 2: Some, but would like additional training - 3: No)</v>
      </c>
      <c r="C127" s="185">
        <f>'Basic AST 11'!C91</f>
        <v>0</v>
      </c>
      <c r="D127" s="376" t="s">
        <v>6581</v>
      </c>
      <c r="E127" s="377" t="str">
        <f t="shared" si="19"/>
        <v>'</v>
      </c>
      <c r="F127" s="88">
        <f t="shared" si="20"/>
        <v>0</v>
      </c>
      <c r="G127" s="88" t="s">
        <v>6588</v>
      </c>
      <c r="H127" s="369" t="s">
        <v>6372</v>
      </c>
      <c r="N127" s="106"/>
    </row>
    <row r="128" spans="1:14" ht="27.6" customHeight="1">
      <c r="A128" s="88" t="s">
        <v>6671</v>
      </c>
      <c r="B128" s="163" t="str">
        <f>'AST Expert rules 12'!B95</f>
        <v>Do laboratory staff understand the current limitations associated with colistin AST? (i.e., the risk of false susceptible results when using disk diffusion, gradient strip, or automated methods.)</v>
      </c>
      <c r="C128" s="185">
        <f>'AST Expert rules 12'!C95</f>
        <v>0</v>
      </c>
      <c r="D128" s="88" t="s">
        <v>6545</v>
      </c>
      <c r="E128" s="377" t="str">
        <f>IF(C128="No","Training Opportunity","'")</f>
        <v>'</v>
      </c>
      <c r="F128" s="88">
        <f t="shared" si="20"/>
        <v>0</v>
      </c>
      <c r="G128" s="88" t="s">
        <v>6595</v>
      </c>
      <c r="H128" s="369" t="s">
        <v>6434</v>
      </c>
      <c r="N128" s="106"/>
    </row>
    <row r="129" spans="1:14">
      <c r="C129" s="19"/>
      <c r="N129" s="106"/>
    </row>
    <row r="130" spans="1:14">
      <c r="C130" s="186" t="str">
        <f>Language!A297</f>
        <v>Total number of Training Opportunities</v>
      </c>
      <c r="D130" s="186"/>
      <c r="E130" s="177">
        <f>SUM(F119:F128)</f>
        <v>0</v>
      </c>
      <c r="N130" s="106"/>
    </row>
    <row r="131" spans="1:14">
      <c r="B131" s="652" t="str">
        <f>Language!A286</f>
        <v>System Flags highlight problems with the Hospital System or with National Systems. Lab leadership may need to reach out to Hospital or National leadership for assistance to change</v>
      </c>
      <c r="C131" s="652"/>
      <c r="D131" s="40"/>
      <c r="E131" s="183"/>
      <c r="F131" s="156"/>
      <c r="G131" s="156"/>
      <c r="H131" s="335"/>
      <c r="I131" s="64"/>
    </row>
    <row r="132" spans="1:14">
      <c r="A132" s="397"/>
      <c r="B132" s="397"/>
      <c r="C132" s="397"/>
      <c r="N132" s="106"/>
    </row>
    <row r="133" spans="1:14">
      <c r="A133" s="170"/>
      <c r="B133" s="45" t="str">
        <f>Language!A295</f>
        <v>System Flag</v>
      </c>
      <c r="C133" s="268" t="str">
        <f>Language!A288</f>
        <v>Response</v>
      </c>
      <c r="D133" s="268" t="str">
        <f>Language!A289</f>
        <v>Trigger</v>
      </c>
      <c r="E133" s="183"/>
      <c r="F133" s="156"/>
      <c r="G133" s="268" t="str">
        <f>Language!A290</f>
        <v>Module</v>
      </c>
      <c r="H133" s="380" t="str">
        <f>Language!A291</f>
        <v>Question</v>
      </c>
      <c r="N133" s="106"/>
    </row>
    <row r="134" spans="1:14" ht="27.6" customHeight="1">
      <c r="A134" s="360" t="s">
        <v>6672</v>
      </c>
      <c r="B134" s="163" t="str">
        <f>'Facility 1'!B14</f>
        <v>In the last 6 months, has prolonged power failure disrupted the ability to provide routine bacteriology services?</v>
      </c>
      <c r="C134" s="185">
        <f>'Facility 1'!F14</f>
        <v>0</v>
      </c>
      <c r="D134" s="88" t="s">
        <v>6558</v>
      </c>
      <c r="E134" s="378" t="str">
        <f>IF(C134="Yes","System Flag","'")</f>
        <v>'</v>
      </c>
      <c r="F134" s="88">
        <f t="shared" ref="F134:F157" si="21">IF(E134="System Flag",1,0)</f>
        <v>0</v>
      </c>
      <c r="G134" s="88" t="s">
        <v>6546</v>
      </c>
      <c r="H134" s="379" t="s">
        <v>5539</v>
      </c>
      <c r="N134" s="106"/>
    </row>
    <row r="135" spans="1:14">
      <c r="A135" s="360" t="s">
        <v>6673</v>
      </c>
      <c r="B135" s="163" t="str">
        <f>'Facility 1'!B17</f>
        <v>Describe the internet service in the laboratory</v>
      </c>
      <c r="C135" s="185">
        <f>'Facility 1'!F17</f>
        <v>0</v>
      </c>
      <c r="D135" s="88" t="s">
        <v>6581</v>
      </c>
      <c r="E135" s="378" t="str">
        <f>IF(C135=2,"System Flag",IF(C135=3,"System Flag","'"))</f>
        <v>'</v>
      </c>
      <c r="F135" s="88"/>
      <c r="G135" s="88" t="s">
        <v>6546</v>
      </c>
      <c r="H135" s="360">
        <v>1.1200000000000001</v>
      </c>
      <c r="N135" s="106"/>
    </row>
    <row r="136" spans="1:14" ht="27.6" customHeight="1">
      <c r="A136" s="360" t="s">
        <v>6674</v>
      </c>
      <c r="B136" s="163" t="str">
        <f>'Facility 1'!B156</f>
        <v>In the last 6 months, has prolonged instrument failure disrupted the ability to provide routine bacteriology services?</v>
      </c>
      <c r="C136" s="185">
        <f>'Facility 1'!F156</f>
        <v>0</v>
      </c>
      <c r="D136" s="88" t="s">
        <v>6558</v>
      </c>
      <c r="E136" s="378" t="str">
        <f t="shared" ref="E136:E137" si="22">IF(C136="Yes","System Flag","'")</f>
        <v>'</v>
      </c>
      <c r="F136" s="88">
        <f t="shared" ref="F136:F137" si="23">IF(E136="System Flag",1,0)</f>
        <v>0</v>
      </c>
      <c r="G136" s="88" t="s">
        <v>6546</v>
      </c>
      <c r="H136" s="379" t="s">
        <v>5651</v>
      </c>
      <c r="N136" s="106"/>
    </row>
    <row r="137" spans="1:14" ht="27.6" customHeight="1">
      <c r="A137" s="360" t="s">
        <v>6675</v>
      </c>
      <c r="B137" s="163" t="str">
        <f>'Facility 1'!B168</f>
        <v>In the last 6 months, have any stock outs disrupted the lab's ability to provide routine bacteriology services?</v>
      </c>
      <c r="C137" s="185">
        <f>'Facility 1'!F168</f>
        <v>0</v>
      </c>
      <c r="D137" s="88" t="s">
        <v>6558</v>
      </c>
      <c r="E137" s="378" t="str">
        <f t="shared" si="22"/>
        <v>'</v>
      </c>
      <c r="F137" s="88">
        <f t="shared" si="23"/>
        <v>0</v>
      </c>
      <c r="G137" s="88" t="s">
        <v>6546</v>
      </c>
      <c r="H137" s="379" t="s">
        <v>5662</v>
      </c>
      <c r="N137" s="106"/>
    </row>
    <row r="138" spans="1:14">
      <c r="A138" s="360" t="s">
        <v>6676</v>
      </c>
      <c r="B138" s="166" t="str">
        <f>'LIS 2'!B6</f>
        <v>Does the laboratory use a computer-based Laboratory Information System (LIS)?</v>
      </c>
      <c r="C138" s="88">
        <f>'LIS 2'!C6</f>
        <v>0</v>
      </c>
      <c r="D138" s="88" t="s">
        <v>6545</v>
      </c>
      <c r="E138" s="378" t="str">
        <f t="shared" ref="E138:E147" si="24">IF(C138="No","System Flag","'")</f>
        <v>'</v>
      </c>
      <c r="F138" s="88">
        <f t="shared" si="21"/>
        <v>0</v>
      </c>
      <c r="G138" s="88" t="s">
        <v>6549</v>
      </c>
      <c r="H138" s="379" t="s">
        <v>5666</v>
      </c>
      <c r="N138" s="106"/>
    </row>
    <row r="139" spans="1:14">
      <c r="A139" s="360" t="s">
        <v>6677</v>
      </c>
      <c r="B139" s="163" t="str">
        <f>'LIS 2'!B73</f>
        <v xml:space="preserve">Does the hospital use a Hospital Information System (HIS) or Electronic Medical Record (EMR)? </v>
      </c>
      <c r="C139" s="88">
        <f>'LIS 2'!C73</f>
        <v>0</v>
      </c>
      <c r="D139" s="88" t="s">
        <v>6545</v>
      </c>
      <c r="E139" s="378" t="str">
        <f t="shared" si="24"/>
        <v>'</v>
      </c>
      <c r="F139" s="88">
        <f t="shared" si="21"/>
        <v>0</v>
      </c>
      <c r="G139" s="88" t="s">
        <v>6549</v>
      </c>
      <c r="H139" s="379" t="s">
        <v>5710</v>
      </c>
    </row>
    <row r="140" spans="1:14">
      <c r="A140" s="360" t="s">
        <v>6678</v>
      </c>
      <c r="B140" s="163" t="str">
        <f>'Data Mgmt 3'!B5</f>
        <v>Are inpatients assigned a unique patient ID number upon admission to the hospital?</v>
      </c>
      <c r="C140" s="185">
        <f>'Data Mgmt 3'!C5</f>
        <v>0</v>
      </c>
      <c r="D140" s="88" t="s">
        <v>6545</v>
      </c>
      <c r="E140" s="378" t="str">
        <f t="shared" si="24"/>
        <v>'</v>
      </c>
      <c r="F140" s="88">
        <f t="shared" si="21"/>
        <v>0</v>
      </c>
      <c r="G140" s="88" t="s">
        <v>6552</v>
      </c>
      <c r="H140" s="379" t="s">
        <v>5712</v>
      </c>
    </row>
    <row r="141" spans="1:14">
      <c r="A141" s="360" t="s">
        <v>6679</v>
      </c>
      <c r="B141" s="163" t="str">
        <f>'Data Mgmt 3'!B6</f>
        <v>Are outpatients assigned a unique patient ID number upon registration at the clinic?</v>
      </c>
      <c r="C141" s="185">
        <f>'Data Mgmt 3'!C6</f>
        <v>0</v>
      </c>
      <c r="D141" s="88" t="s">
        <v>6545</v>
      </c>
      <c r="E141" s="378" t="str">
        <f t="shared" si="24"/>
        <v>'</v>
      </c>
      <c r="F141" s="88">
        <f t="shared" si="21"/>
        <v>0</v>
      </c>
      <c r="G141" s="88" t="s">
        <v>6552</v>
      </c>
      <c r="H141" s="379" t="s">
        <v>5713</v>
      </c>
    </row>
    <row r="142" spans="1:14" ht="27.6" customHeight="1">
      <c r="A142" s="360" t="s">
        <v>6680</v>
      </c>
      <c r="B142" s="163" t="str">
        <f>'Data Mgmt 3'!B7</f>
        <v>Are patient ID numbers assigned in such a way that no two patients are given the same number in the course of one year?</v>
      </c>
      <c r="C142" s="185">
        <f>'Data Mgmt 3'!C7</f>
        <v>0</v>
      </c>
      <c r="D142" s="88" t="s">
        <v>6545</v>
      </c>
      <c r="E142" s="378" t="str">
        <f t="shared" si="24"/>
        <v>'</v>
      </c>
      <c r="F142" s="88">
        <f t="shared" si="21"/>
        <v>0</v>
      </c>
      <c r="G142" s="88" t="s">
        <v>6552</v>
      </c>
      <c r="H142" s="379" t="s">
        <v>5714</v>
      </c>
    </row>
    <row r="143" spans="1:14">
      <c r="A143" s="360" t="s">
        <v>6681</v>
      </c>
      <c r="B143" s="163" t="str">
        <f>'Data Mgmt 3'!B8</f>
        <v>Do patients retain the same patient ID number each time they are admitted to the hospital?</v>
      </c>
      <c r="C143" s="185">
        <f>'Data Mgmt 3'!C8</f>
        <v>0</v>
      </c>
      <c r="D143" s="88" t="s">
        <v>6545</v>
      </c>
      <c r="E143" s="378" t="str">
        <f t="shared" si="24"/>
        <v>'</v>
      </c>
      <c r="F143" s="88">
        <f t="shared" si="21"/>
        <v>0</v>
      </c>
      <c r="G143" s="88" t="s">
        <v>6552</v>
      </c>
      <c r="H143" s="379" t="s">
        <v>5715</v>
      </c>
    </row>
    <row r="144" spans="1:14">
      <c r="A144" s="360" t="s">
        <v>6682</v>
      </c>
      <c r="B144" s="163" t="str">
        <f>'Data Mgmt 3'!B87</f>
        <v>Do laboratory computers have antivirus software?</v>
      </c>
      <c r="C144" s="185">
        <f>'Data Mgmt 3'!C87</f>
        <v>0</v>
      </c>
      <c r="D144" s="88" t="s">
        <v>6545</v>
      </c>
      <c r="E144" s="378" t="str">
        <f t="shared" si="24"/>
        <v>'</v>
      </c>
      <c r="F144" s="88">
        <f t="shared" si="21"/>
        <v>0</v>
      </c>
      <c r="G144" s="88" t="s">
        <v>6552</v>
      </c>
      <c r="H144" s="379" t="s">
        <v>5765</v>
      </c>
    </row>
    <row r="145" spans="1:8">
      <c r="A145" s="360" t="s">
        <v>6683</v>
      </c>
      <c r="B145" s="163" t="str">
        <f>'Data Mgmt 3'!B88</f>
        <v>Do laboratory computers have genuine (not pirated) Operating Systems?</v>
      </c>
      <c r="C145" s="185">
        <f>'Data Mgmt 3'!C88</f>
        <v>0</v>
      </c>
      <c r="D145" s="88" t="s">
        <v>6545</v>
      </c>
      <c r="E145" s="378" t="str">
        <f t="shared" ref="E145" si="25">IF(C145="No","System Flag","'")</f>
        <v>'</v>
      </c>
      <c r="F145" s="88">
        <f t="shared" si="21"/>
        <v>0</v>
      </c>
      <c r="G145" s="88" t="s">
        <v>6552</v>
      </c>
      <c r="H145" s="379" t="s">
        <v>5766</v>
      </c>
    </row>
    <row r="146" spans="1:8" ht="27.6" customHeight="1">
      <c r="A146" s="360" t="s">
        <v>6684</v>
      </c>
      <c r="B146" s="163" t="str">
        <f>'QA 4'!B22</f>
        <v>Does at least 50% of the technical staff possess formal education in microbiology or medical laboratory science? (Refer to the figure in column D)</v>
      </c>
      <c r="C146" s="185">
        <f>'QA 4'!F22</f>
        <v>0</v>
      </c>
      <c r="D146" s="88" t="s">
        <v>6545</v>
      </c>
      <c r="E146" s="378" t="str">
        <f t="shared" ref="E146" si="26">IF(C146="No","System Flag","'")</f>
        <v>'</v>
      </c>
      <c r="F146" s="88">
        <f t="shared" si="21"/>
        <v>0</v>
      </c>
      <c r="G146" s="88" t="s">
        <v>6559</v>
      </c>
      <c r="H146" s="369" t="s">
        <v>5796</v>
      </c>
    </row>
    <row r="147" spans="1:8">
      <c r="A147" s="360" t="s">
        <v>6685</v>
      </c>
      <c r="B147" s="163" t="str">
        <f>'QA 4'!B23</f>
        <v>Is the lab sufficiently staffed to provide high quality services? (Including support staff)</v>
      </c>
      <c r="C147" s="88">
        <f>'QA 4'!C23</f>
        <v>0</v>
      </c>
      <c r="D147" s="88" t="s">
        <v>6545</v>
      </c>
      <c r="E147" s="378" t="str">
        <f t="shared" si="24"/>
        <v>'</v>
      </c>
      <c r="F147" s="88">
        <f t="shared" si="21"/>
        <v>0</v>
      </c>
      <c r="G147" s="88" t="s">
        <v>6559</v>
      </c>
      <c r="H147" s="369" t="s">
        <v>5797</v>
      </c>
    </row>
    <row r="148" spans="1:8" ht="27.6" customHeight="1">
      <c r="A148" s="360" t="s">
        <v>6686</v>
      </c>
      <c r="B148" s="163" t="str">
        <f>'QA 4'!B47</f>
        <v xml:space="preserve">How many times per year does the lab currently receive EQA/PT challenges that include both bacterial identification &amp; AST? (Please do not include challenges designed to focus on a single organism, e.g., TB or N. gonorrhoeae) </v>
      </c>
      <c r="C148" s="88">
        <f>'QA 4'!C47</f>
        <v>0</v>
      </c>
      <c r="D148" s="376">
        <v>4</v>
      </c>
      <c r="E148" s="378" t="str">
        <f>IF(C148=4,"System Flag","'")</f>
        <v>'</v>
      </c>
      <c r="F148" s="88">
        <f t="shared" si="21"/>
        <v>0</v>
      </c>
      <c r="G148" s="88" t="s">
        <v>6559</v>
      </c>
      <c r="H148" s="369" t="s">
        <v>6687</v>
      </c>
    </row>
    <row r="149" spans="1:8">
      <c r="A149" s="360" t="s">
        <v>6688</v>
      </c>
      <c r="B149" s="163" t="str">
        <f>'QA 4'!B57</f>
        <v xml:space="preserve">On average, how long does the lab have to wait before receiving the results of their PT/EQA performance? </v>
      </c>
      <c r="C149" s="88">
        <f>'QA 4'!C57</f>
        <v>0</v>
      </c>
      <c r="D149" s="376" t="s">
        <v>6581</v>
      </c>
      <c r="E149" s="378" t="str">
        <f>IF(C149=2,"System Flag",IF(C149=3,"System Flag","'"))</f>
        <v>'</v>
      </c>
      <c r="F149" s="88">
        <f t="shared" si="21"/>
        <v>0</v>
      </c>
      <c r="G149" s="88" t="s">
        <v>6559</v>
      </c>
      <c r="H149" s="369" t="s">
        <v>5820</v>
      </c>
    </row>
    <row r="150" spans="1:8">
      <c r="A150" s="360" t="s">
        <v>6689</v>
      </c>
      <c r="B150" s="163" t="str">
        <f>'Basic AST 11'!B88</f>
        <v xml:space="preserve">Is there internet in the lab to access free EUCAST PDFs or CLSI M100 online version? </v>
      </c>
      <c r="C150" s="88">
        <f>'Basic AST 11'!C88</f>
        <v>0</v>
      </c>
      <c r="D150" s="376" t="s">
        <v>6545</v>
      </c>
      <c r="E150" s="378" t="str">
        <f t="shared" ref="E150:E157" si="27">IF(C150="No","System Flag","'")</f>
        <v>'</v>
      </c>
      <c r="F150" s="88">
        <f t="shared" si="21"/>
        <v>0</v>
      </c>
      <c r="G150" s="88" t="s">
        <v>6588</v>
      </c>
      <c r="H150" s="369" t="s">
        <v>6371</v>
      </c>
    </row>
    <row r="151" spans="1:8" ht="27.6" customHeight="1">
      <c r="A151" s="360" t="s">
        <v>6690</v>
      </c>
      <c r="B151" s="163" t="str">
        <f>'AST Policy 13'!B35</f>
        <v>Does lab policy primarily determine which isolates receive AST, or is AST performed only when it is specifically requested by the doctor?</v>
      </c>
      <c r="C151" s="88">
        <f>'AST Policy 13'!C35</f>
        <v>0</v>
      </c>
      <c r="D151" s="376" t="s">
        <v>6581</v>
      </c>
      <c r="E151" s="378" t="str">
        <f>IF(C151=2,"System Flag",IF(C151=3,"System Flag","'"))</f>
        <v>'</v>
      </c>
      <c r="F151" s="88">
        <f t="shared" si="21"/>
        <v>0</v>
      </c>
      <c r="G151" s="88" t="s">
        <v>6636</v>
      </c>
      <c r="H151" s="379" t="s">
        <v>6503</v>
      </c>
    </row>
    <row r="152" spans="1:8" ht="27.6" customHeight="1">
      <c r="A152" s="360" t="s">
        <v>6691</v>
      </c>
      <c r="B152" s="163" t="str">
        <f>'AST Policy 13'!B37</f>
        <v>Does lab policy primarily determine which antibiotics to test and report, or does the lab only test and report the antibiotics specifically requested by the physician?</v>
      </c>
      <c r="C152" s="88">
        <f>'AST Policy 13'!C37</f>
        <v>0</v>
      </c>
      <c r="D152" s="376" t="s">
        <v>6581</v>
      </c>
      <c r="E152" s="378" t="str">
        <f>IF(C152=2,"System Flag",IF(C152=3,"System Flag","'"))</f>
        <v>'</v>
      </c>
      <c r="F152" s="88">
        <f t="shared" si="21"/>
        <v>0</v>
      </c>
      <c r="G152" s="88" t="s">
        <v>6636</v>
      </c>
      <c r="H152" s="379" t="s">
        <v>6504</v>
      </c>
    </row>
    <row r="153" spans="1:8">
      <c r="A153" s="360" t="s">
        <v>6692</v>
      </c>
      <c r="B153" s="163" t="str">
        <f>'AST Policy 13'!B44</f>
        <v>Does the hospital have an Antibiotic Stewardship Committee?</v>
      </c>
      <c r="C153" s="88">
        <f>'AST Policy 13'!C44</f>
        <v>0</v>
      </c>
      <c r="D153" s="376" t="s">
        <v>6545</v>
      </c>
      <c r="E153" s="378" t="str">
        <f t="shared" si="27"/>
        <v>'</v>
      </c>
      <c r="F153" s="88">
        <f t="shared" si="21"/>
        <v>0</v>
      </c>
      <c r="G153" s="88" t="s">
        <v>6636</v>
      </c>
      <c r="H153" s="379" t="s">
        <v>6507</v>
      </c>
    </row>
    <row r="154" spans="1:8">
      <c r="A154" s="360" t="s">
        <v>6693</v>
      </c>
      <c r="B154" s="163" t="str">
        <f>'AST Policy 13'!B45</f>
        <v>If the hospital has an Antibiotic Stewardship Committee, is a microbiologist a member?</v>
      </c>
      <c r="C154" s="88">
        <f>'AST Policy 13'!C45</f>
        <v>0</v>
      </c>
      <c r="D154" s="376" t="s">
        <v>6545</v>
      </c>
      <c r="E154" s="378" t="str">
        <f t="shared" si="27"/>
        <v>'</v>
      </c>
      <c r="F154" s="88">
        <f t="shared" si="21"/>
        <v>0</v>
      </c>
      <c r="G154" s="88" t="s">
        <v>6636</v>
      </c>
      <c r="H154" s="379" t="s">
        <v>6508</v>
      </c>
    </row>
    <row r="155" spans="1:8">
      <c r="A155" s="360" t="s">
        <v>6694</v>
      </c>
      <c r="B155" s="163" t="str">
        <f>'AST Policy 13'!B46</f>
        <v>Does the hospital have a Pharmacy and Therapeutics Committee?</v>
      </c>
      <c r="C155" s="88">
        <f>'AST Policy 13'!C46</f>
        <v>0</v>
      </c>
      <c r="D155" s="376" t="s">
        <v>6545</v>
      </c>
      <c r="E155" s="378" t="str">
        <f t="shared" si="27"/>
        <v>'</v>
      </c>
      <c r="F155" s="88">
        <f t="shared" si="21"/>
        <v>0</v>
      </c>
      <c r="G155" s="88" t="s">
        <v>6636</v>
      </c>
      <c r="H155" s="379" t="s">
        <v>6509</v>
      </c>
    </row>
    <row r="156" spans="1:8">
      <c r="A156" s="360" t="s">
        <v>6695</v>
      </c>
      <c r="B156" s="163" t="str">
        <f>'AST Policy 13'!B47</f>
        <v>If the hospital has a Pharmacy and Therapeutics Committee, is a microbiologist a member?</v>
      </c>
      <c r="C156" s="88">
        <f>'AST Policy 13'!C47</f>
        <v>0</v>
      </c>
      <c r="D156" s="376" t="s">
        <v>6545</v>
      </c>
      <c r="E156" s="378" t="str">
        <f t="shared" si="27"/>
        <v>'</v>
      </c>
      <c r="F156" s="88">
        <f t="shared" si="21"/>
        <v>0</v>
      </c>
      <c r="G156" s="88" t="s">
        <v>6636</v>
      </c>
      <c r="H156" s="379" t="s">
        <v>6510</v>
      </c>
    </row>
    <row r="157" spans="1:8" ht="41.55" customHeight="1">
      <c r="A157" s="360" t="s">
        <v>6696</v>
      </c>
      <c r="B157" s="163" t="str">
        <f>'AST Policy 13'!B48</f>
        <v>Does the hospital's Antibiotic Stewardship or Pharmacy and Therapeutic Committee meet at least annually to review national or international AST panel recommendations and modify them based on the hospital's formulary and cumulative antibiogram?</v>
      </c>
      <c r="C157" s="88">
        <f>'AST Policy 13'!C48</f>
        <v>0</v>
      </c>
      <c r="D157" s="376" t="s">
        <v>6545</v>
      </c>
      <c r="E157" s="378" t="str">
        <f t="shared" si="27"/>
        <v>'</v>
      </c>
      <c r="F157" s="88">
        <f t="shared" si="21"/>
        <v>0</v>
      </c>
      <c r="G157" s="88" t="s">
        <v>6636</v>
      </c>
      <c r="H157" s="379" t="s">
        <v>6511</v>
      </c>
    </row>
    <row r="159" spans="1:8">
      <c r="C159" s="186" t="str">
        <f>Language!A298</f>
        <v>Total number of System Flags</v>
      </c>
      <c r="D159" s="186"/>
      <c r="E159" s="177">
        <f>SUM(F134:F157)</f>
        <v>0</v>
      </c>
    </row>
  </sheetData>
  <sheetProtection algorithmName="SHA-256" hashValue="uucbDb1LqVxUq/8L3OzhtrwWokIQQ20wO6Hn1i4rwqU=" saltValue="Hpwt0gZNE8ajh31mFrWS4w==" spinCount="100000" sheet="1" selectLockedCells="1"/>
  <mergeCells count="1">
    <mergeCell ref="B131:C131"/>
  </mergeCells>
  <phoneticPr fontId="45" type="noConversion"/>
  <conditionalFormatting sqref="B5">
    <cfRule type="expression" dxfId="55" priority="62">
      <formula>E$5="Red Flag"</formula>
    </cfRule>
  </conditionalFormatting>
  <conditionalFormatting sqref="B6">
    <cfRule type="expression" dxfId="54" priority="1">
      <formula>$E$7="Red Flag"</formula>
    </cfRule>
  </conditionalFormatting>
  <conditionalFormatting sqref="B7:B42 B56:B64">
    <cfRule type="expression" dxfId="53" priority="55">
      <formula>$E7="Red Flag"</formula>
    </cfRule>
  </conditionalFormatting>
  <conditionalFormatting sqref="B43">
    <cfRule type="expression" dxfId="52" priority="56">
      <formula>E44="Red Flag"</formula>
    </cfRule>
    <cfRule type="expression" dxfId="51" priority="53">
      <formula>E45="Red Flag"</formula>
    </cfRule>
    <cfRule type="expression" dxfId="50" priority="52">
      <formula>E46="Red Flag"</formula>
    </cfRule>
    <cfRule type="expression" dxfId="49" priority="51">
      <formula>E47="Red Flag"</formula>
    </cfRule>
  </conditionalFormatting>
  <conditionalFormatting sqref="B44:B52">
    <cfRule type="expression" dxfId="48" priority="54">
      <formula>$E44="Red Flag"</formula>
    </cfRule>
  </conditionalFormatting>
  <conditionalFormatting sqref="B53:B54">
    <cfRule type="expression" dxfId="47" priority="48">
      <formula>E$54="Red Flag"</formula>
    </cfRule>
  </conditionalFormatting>
  <conditionalFormatting sqref="B55">
    <cfRule type="expression" dxfId="46" priority="1473">
      <formula>E59="Red Flag"</formula>
    </cfRule>
    <cfRule type="expression" dxfId="45" priority="1472">
      <formula>#REF!="Red Flag"</formula>
    </cfRule>
    <cfRule type="expression" dxfId="44" priority="1474">
      <formula>E58="Red Flag"</formula>
    </cfRule>
    <cfRule type="expression" dxfId="43" priority="1475">
      <formula>E57="Red Flag"</formula>
    </cfRule>
    <cfRule type="expression" dxfId="42" priority="1476">
      <formula>E56="Red Flag"</formula>
    </cfRule>
  </conditionalFormatting>
  <conditionalFormatting sqref="B65">
    <cfRule type="expression" dxfId="41" priority="40">
      <formula>E66="Red Flag"</formula>
    </cfRule>
    <cfRule type="expression" dxfId="40" priority="39">
      <formula>E67="Red Flag"</formula>
    </cfRule>
    <cfRule type="expression" dxfId="39" priority="38">
      <formula>E68="Red Flag"</formula>
    </cfRule>
    <cfRule type="expression" dxfId="38" priority="37">
      <formula>E69="Red Flag"</formula>
    </cfRule>
    <cfRule type="expression" dxfId="37" priority="35">
      <formula>E71="Red Flag"</formula>
    </cfRule>
    <cfRule type="expression" dxfId="36" priority="34">
      <formula>E72="Red Flag"</formula>
    </cfRule>
    <cfRule type="expression" dxfId="35" priority="33">
      <formula>E73="Red Flag"</formula>
    </cfRule>
    <cfRule type="expression" dxfId="34" priority="32">
      <formula>E74="Red Flag"</formula>
    </cfRule>
    <cfRule type="expression" dxfId="33" priority="31">
      <formula>E75="Red Flag"</formula>
    </cfRule>
    <cfRule type="expression" dxfId="32" priority="36">
      <formula>E70="Red Flag"</formula>
    </cfRule>
  </conditionalFormatting>
  <conditionalFormatting sqref="B66:B77">
    <cfRule type="expression" dxfId="31" priority="41">
      <formula>$E66="Red Flag"</formula>
    </cfRule>
  </conditionalFormatting>
  <conditionalFormatting sqref="B78">
    <cfRule type="expression" dxfId="30" priority="26">
      <formula>E82="Red Flag"</formula>
    </cfRule>
    <cfRule type="expression" dxfId="29" priority="27">
      <formula>E81="Red Flag"</formula>
    </cfRule>
    <cfRule type="expression" dxfId="28" priority="28">
      <formula>E80="Red Flag"</formula>
    </cfRule>
    <cfRule type="expression" dxfId="27" priority="22">
      <formula>E86="Red Flag"</formula>
    </cfRule>
    <cfRule type="expression" dxfId="26" priority="29">
      <formula>E79="Red Flag"</formula>
    </cfRule>
    <cfRule type="expression" dxfId="25" priority="23">
      <formula>E85="Red Flag"</formula>
    </cfRule>
    <cfRule type="expression" dxfId="24" priority="24">
      <formula>E84="Red Flag"</formula>
    </cfRule>
    <cfRule type="expression" dxfId="23" priority="25">
      <formula>E83="Red Flag"</formula>
    </cfRule>
  </conditionalFormatting>
  <conditionalFormatting sqref="B79:B87">
    <cfRule type="expression" dxfId="22" priority="30">
      <formula>$E79="Red Flag"</formula>
    </cfRule>
  </conditionalFormatting>
  <conditionalFormatting sqref="B88">
    <cfRule type="expression" dxfId="21" priority="18">
      <formula>E91="Red Flag"</formula>
    </cfRule>
    <cfRule type="expression" dxfId="20" priority="17">
      <formula>E92="Red Flag"</formula>
    </cfRule>
    <cfRule type="expression" dxfId="19" priority="16">
      <formula>E93="Red Flag"</formula>
    </cfRule>
    <cfRule type="expression" dxfId="18" priority="14">
      <formula>E95="Red Flag"</formula>
    </cfRule>
    <cfRule type="expression" dxfId="17" priority="13">
      <formula>E96="Red Flag"</formula>
    </cfRule>
    <cfRule type="expression" dxfId="16" priority="12">
      <formula>E97="Red Flag"</formula>
    </cfRule>
    <cfRule type="expression" dxfId="15" priority="15">
      <formula>E94="Red Flag"</formula>
    </cfRule>
    <cfRule type="expression" dxfId="14" priority="20">
      <formula>E89="Red Flag"</formula>
    </cfRule>
    <cfRule type="expression" dxfId="13" priority="19">
      <formula>E90="Red Flag"</formula>
    </cfRule>
  </conditionalFormatting>
  <conditionalFormatting sqref="B89:B98">
    <cfRule type="expression" dxfId="12" priority="21">
      <formula>$E89="Red Flag"</formula>
    </cfRule>
  </conditionalFormatting>
  <conditionalFormatting sqref="B99">
    <cfRule type="expression" dxfId="11" priority="8">
      <formula>E102="Red Flag"</formula>
    </cfRule>
    <cfRule type="expression" dxfId="10" priority="10">
      <formula>E100="Red Flag"</formula>
    </cfRule>
    <cfRule type="expression" dxfId="9" priority="9">
      <formula>E101="Red Flag"</formula>
    </cfRule>
    <cfRule type="expression" dxfId="8" priority="7">
      <formula>E103="Red Flag"</formula>
    </cfRule>
  </conditionalFormatting>
  <conditionalFormatting sqref="B100:B106">
    <cfRule type="expression" dxfId="7" priority="11">
      <formula>$E100="Red Flag"</formula>
    </cfRule>
  </conditionalFormatting>
  <conditionalFormatting sqref="B107">
    <cfRule type="expression" dxfId="6" priority="5">
      <formula>E108="Red Flag"</formula>
    </cfRule>
    <cfRule type="expression" dxfId="5" priority="4">
      <formula>E109="Red Flag"</formula>
    </cfRule>
    <cfRule type="expression" dxfId="4" priority="3">
      <formula>E110="Red Flag"</formula>
    </cfRule>
    <cfRule type="expression" dxfId="3" priority="2">
      <formula>E111="Red Flag"</formula>
    </cfRule>
  </conditionalFormatting>
  <conditionalFormatting sqref="B108:B114">
    <cfRule type="expression" dxfId="2" priority="6">
      <formula>$E108="Red Flag"</formula>
    </cfRule>
  </conditionalFormatting>
  <conditionalFormatting sqref="B119:B128">
    <cfRule type="expression" dxfId="1" priority="64">
      <formula>$E119="Training Opportunity"</formula>
    </cfRule>
  </conditionalFormatting>
  <conditionalFormatting sqref="B134:B157">
    <cfRule type="expression" dxfId="0" priority="63">
      <formula>$E134="System Flag"</formula>
    </cfRule>
  </conditionalFormatting>
  <pageMargins left="0.25" right="0.25" top="0.75" bottom="0.75" header="0.3" footer="0.3"/>
  <pageSetup paperSize="9" scale="86" fitToHeight="10" orientation="landscape" r:id="rId1"/>
  <headerFooter>
    <oddFooter>&amp;C&amp;A -&amp;P</oddFooter>
  </headerFooter>
  <rowBreaks count="5" manualBreakCount="5">
    <brk id="29" max="7" man="1"/>
    <brk id="52" max="7" man="1"/>
    <brk id="86" max="7" man="1"/>
    <brk id="116" max="7" man="1"/>
    <brk id="130" max="7" man="1"/>
  </rowBreaks>
  <ignoredErrors>
    <ignoredError sqref="H5 H66:H77 H79:H87 H119:H128 H136:H157 H7:H64 H134" numberStoredAsText="1"/>
    <ignoredError sqref="E17:E18 E9 E19:E20 E21 E37 E105 E61 E150 E135" formula="1"/>
  </ignoredError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A4"/>
  <sheetViews>
    <sheetView zoomScaleNormal="100" zoomScalePageLayoutView="80" workbookViewId="0"/>
  </sheetViews>
  <sheetFormatPr defaultColWidth="8.69921875" defaultRowHeight="15.6"/>
  <sheetData>
    <row r="1" spans="1:1">
      <c r="A1" s="398" t="str">
        <f>Language!A275</f>
        <v>CONCLUSIONS</v>
      </c>
    </row>
    <row r="2" spans="1:1">
      <c r="A2" s="5" t="str">
        <f>Language!A276</f>
        <v>Use the embedded MS Word file to summarize the main findings and recommendations in narrative format.</v>
      </c>
    </row>
    <row r="3" spans="1:1">
      <c r="A3" s="5" t="str">
        <f>Language!A277</f>
        <v>To enter findings, double click inside the box below.</v>
      </c>
    </row>
    <row r="4" spans="1:1">
      <c r="A4" s="5" t="str">
        <f>Language!A278</f>
        <v>To exit and save, click anywhere in the Excel grid.</v>
      </c>
    </row>
  </sheetData>
  <sheetProtection algorithmName="SHA-256" hashValue="5ct9e5CSvcr5Tk2L5M9eUAttxTI1jqT34/ULQsFd0kQ=" saltValue="FqYHwHRrfAVMT3ndUaY15w==" spinCount="100000" sheet="1" selectLockedCells="1"/>
  <phoneticPr fontId="45" type="noConversion"/>
  <pageMargins left="0.25" right="0.25" top="0.75000000000000011" bottom="0.75000000000000011" header="0.30000000000000004" footer="0.30000000000000004"/>
  <pageSetup paperSize="9" orientation="portrait" r:id="rId1"/>
  <headerFooter>
    <oddFooter>&amp;C&amp;A - &amp;P</oddFooter>
  </headerFooter>
  <drawing r:id="rId2"/>
  <legacyDrawing r:id="rId3"/>
  <oleObjects>
    <mc:AlternateContent xmlns:mc="http://schemas.openxmlformats.org/markup-compatibility/2006">
      <mc:Choice Requires="x14">
        <oleObject progId="Word.Document.12" shapeId="26627" r:id="rId4">
          <objectPr locked="0" defaultSize="0" autoPict="0" r:id="rId5">
            <anchor moveWithCells="1">
              <from>
                <xdr:col>0</xdr:col>
                <xdr:colOff>60960</xdr:colOff>
                <xdr:row>4</xdr:row>
                <xdr:rowOff>91440</xdr:rowOff>
              </from>
              <to>
                <xdr:col>9</xdr:col>
                <xdr:colOff>518160</xdr:colOff>
                <xdr:row>42</xdr:row>
                <xdr:rowOff>76200</xdr:rowOff>
              </to>
            </anchor>
          </objectPr>
        </oleObject>
      </mc:Choice>
      <mc:Fallback>
        <oleObject progId="Word.Document.12" shapeId="26627"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B43"/>
  <sheetViews>
    <sheetView zoomScaleNormal="100" zoomScalePageLayoutView="80" workbookViewId="0"/>
  </sheetViews>
  <sheetFormatPr defaultColWidth="8.69921875" defaultRowHeight="15.6"/>
  <cols>
    <col min="1" max="2" width="59.19921875" customWidth="1"/>
  </cols>
  <sheetData>
    <row r="1" spans="1:2">
      <c r="A1" s="398" t="str">
        <f>Language!A279</f>
        <v>PHOTOGRAPHS</v>
      </c>
    </row>
    <row r="2" spans="1:2">
      <c r="A2" s="5" t="str">
        <f>Language!A280</f>
        <v>Before inserting photos, resize them to less than 500KB/2MP (size “Medium”) in order to keep the final Excel file size small</v>
      </c>
    </row>
    <row r="3" spans="1:2">
      <c r="A3" s="5" t="str">
        <f>Language!A281</f>
        <v>Up to 6 photographs may be inserted.</v>
      </c>
    </row>
    <row r="4" spans="1:2">
      <c r="A4" s="5" t="str">
        <f>Language!A282</f>
        <v>Obtain permission before taking photos, and avoid capturing any patient identifiers</v>
      </c>
    </row>
    <row r="5" spans="1:2">
      <c r="A5" s="354"/>
      <c r="B5" s="354"/>
    </row>
    <row r="6" spans="1:2">
      <c r="A6" s="355"/>
      <c r="B6" s="355"/>
    </row>
    <row r="7" spans="1:2">
      <c r="A7" s="355"/>
      <c r="B7" s="355"/>
    </row>
    <row r="8" spans="1:2">
      <c r="A8" s="355"/>
      <c r="B8" s="355"/>
    </row>
    <row r="9" spans="1:2">
      <c r="A9" s="355"/>
      <c r="B9" s="355"/>
    </row>
    <row r="10" spans="1:2">
      <c r="A10" s="355"/>
      <c r="B10" s="355"/>
    </row>
    <row r="11" spans="1:2">
      <c r="A11" s="355"/>
      <c r="B11" s="355"/>
    </row>
    <row r="12" spans="1:2">
      <c r="A12" s="355"/>
      <c r="B12" s="355"/>
    </row>
    <row r="13" spans="1:2">
      <c r="A13" s="355"/>
      <c r="B13" s="355"/>
    </row>
    <row r="14" spans="1:2">
      <c r="A14" s="355"/>
      <c r="B14" s="355"/>
    </row>
    <row r="15" spans="1:2">
      <c r="A15" s="355"/>
      <c r="B15" s="355"/>
    </row>
    <row r="16" spans="1:2">
      <c r="A16" s="355"/>
      <c r="B16" s="355"/>
    </row>
    <row r="17" spans="1:2">
      <c r="A17" s="356"/>
      <c r="B17" s="356"/>
    </row>
    <row r="18" spans="1:2">
      <c r="A18" s="354"/>
      <c r="B18" s="354"/>
    </row>
    <row r="19" spans="1:2">
      <c r="A19" s="355"/>
      <c r="B19" s="355"/>
    </row>
    <row r="20" spans="1:2">
      <c r="A20" s="355"/>
      <c r="B20" s="355"/>
    </row>
    <row r="21" spans="1:2">
      <c r="A21" s="355"/>
      <c r="B21" s="355"/>
    </row>
    <row r="22" spans="1:2">
      <c r="A22" s="355"/>
      <c r="B22" s="355"/>
    </row>
    <row r="23" spans="1:2">
      <c r="A23" s="355"/>
      <c r="B23" s="355"/>
    </row>
    <row r="24" spans="1:2">
      <c r="A24" s="355"/>
      <c r="B24" s="355"/>
    </row>
    <row r="25" spans="1:2">
      <c r="A25" s="355"/>
      <c r="B25" s="355"/>
    </row>
    <row r="26" spans="1:2">
      <c r="A26" s="355"/>
      <c r="B26" s="355"/>
    </row>
    <row r="27" spans="1:2">
      <c r="A27" s="355"/>
      <c r="B27" s="355"/>
    </row>
    <row r="28" spans="1:2">
      <c r="A28" s="355"/>
      <c r="B28" s="355"/>
    </row>
    <row r="29" spans="1:2">
      <c r="A29" s="355"/>
      <c r="B29" s="355"/>
    </row>
    <row r="30" spans="1:2">
      <c r="A30" s="356"/>
      <c r="B30" s="356"/>
    </row>
    <row r="31" spans="1:2">
      <c r="A31" s="354"/>
      <c r="B31" s="354"/>
    </row>
    <row r="32" spans="1:2">
      <c r="A32" s="355"/>
      <c r="B32" s="355"/>
    </row>
    <row r="33" spans="1:2">
      <c r="A33" s="355"/>
      <c r="B33" s="355"/>
    </row>
    <row r="34" spans="1:2">
      <c r="A34" s="355"/>
      <c r="B34" s="355"/>
    </row>
    <row r="35" spans="1:2">
      <c r="A35" s="355"/>
      <c r="B35" s="355"/>
    </row>
    <row r="36" spans="1:2">
      <c r="A36" s="355"/>
      <c r="B36" s="355"/>
    </row>
    <row r="37" spans="1:2">
      <c r="A37" s="355"/>
      <c r="B37" s="355"/>
    </row>
    <row r="38" spans="1:2">
      <c r="A38" s="355"/>
      <c r="B38" s="355"/>
    </row>
    <row r="39" spans="1:2">
      <c r="A39" s="355"/>
      <c r="B39" s="355"/>
    </row>
    <row r="40" spans="1:2">
      <c r="A40" s="355"/>
      <c r="B40" s="355"/>
    </row>
    <row r="41" spans="1:2">
      <c r="A41" s="355"/>
      <c r="B41" s="355"/>
    </row>
    <row r="42" spans="1:2">
      <c r="A42" s="355"/>
      <c r="B42" s="355"/>
    </row>
    <row r="43" spans="1:2">
      <c r="A43" s="356"/>
      <c r="B43" s="356"/>
    </row>
  </sheetData>
  <sheetProtection algorithmName="SHA-256" hashValue="IpWVcGEj7CRR53RKTY8zm7O5EGaNcBIgsvyQsX+4Zgg=" saltValue="4SPPryg6YimPZ/6kf428Ug==" spinCount="100000" sheet="1" objects="1" scenarios="1"/>
  <phoneticPr fontId="45" type="noConversion"/>
  <pageMargins left="0.25" right="0.25" top="0.75000000000000011" bottom="0.75000000000000011" header="0.30000000000000004" footer="0.30000000000000004"/>
  <pageSetup paperSize="9" fitToHeight="2" orientation="landscape" r:id="rId1"/>
  <headerFooter>
    <oddFooter>&amp;C&amp;A -&amp;P</oddFooter>
  </headerFooter>
  <rowBreaks count="1" manualBreakCount="1">
    <brk id="3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tabColor rgb="FFFF0000"/>
    <pageSetUpPr fitToPage="1"/>
  </sheetPr>
  <dimension ref="A1:VO28"/>
  <sheetViews>
    <sheetView view="pageBreakPreview" zoomScale="80" zoomScaleNormal="90" zoomScaleSheetLayoutView="80" zoomScalePageLayoutView="90" workbookViewId="0"/>
  </sheetViews>
  <sheetFormatPr defaultColWidth="11.19921875" defaultRowHeight="15.6"/>
  <cols>
    <col min="2" max="53" width="5.69921875" style="203" customWidth="1"/>
    <col min="54" max="54" width="5.69921875" style="277" customWidth="1"/>
    <col min="55" max="74" width="5.69921875" style="203" customWidth="1"/>
    <col min="75" max="75" width="5.19921875" style="203" bestFit="1" customWidth="1"/>
    <col min="76" max="76" width="4.69921875" style="203" bestFit="1" customWidth="1"/>
    <col min="77" max="77" width="4.19921875" style="203" bestFit="1" customWidth="1"/>
    <col min="78" max="78" width="5.19921875" style="203" bestFit="1" customWidth="1"/>
    <col min="79" max="79" width="6" style="203" bestFit="1" customWidth="1"/>
    <col min="80" max="80" width="5.69921875" style="203" bestFit="1" customWidth="1"/>
    <col min="81" max="105" width="4" style="203" bestFit="1" customWidth="1"/>
    <col min="106" max="106" width="4.69921875" style="203" bestFit="1" customWidth="1"/>
    <col min="107" max="130" width="4" style="203" bestFit="1" customWidth="1"/>
    <col min="131" max="132" width="7.69921875" style="203" bestFit="1" customWidth="1"/>
    <col min="133" max="133" width="6.5" style="203" bestFit="1" customWidth="1"/>
    <col min="134" max="134" width="6.69921875" style="203" bestFit="1" customWidth="1"/>
    <col min="135" max="135" width="5.19921875" style="203" bestFit="1" customWidth="1"/>
    <col min="136" max="136" width="5.5" style="203" bestFit="1" customWidth="1"/>
    <col min="137" max="137" width="6.69921875" style="203" bestFit="1" customWidth="1"/>
    <col min="138" max="138" width="7" style="203" bestFit="1" customWidth="1"/>
    <col min="139" max="140" width="4.19921875" style="203" bestFit="1" customWidth="1"/>
    <col min="141" max="141" width="5.19921875" style="203" bestFit="1" customWidth="1"/>
    <col min="142" max="142" width="5.19921875" style="203" customWidth="1"/>
    <col min="143" max="143" width="4.69921875" style="203" customWidth="1"/>
    <col min="144" max="144" width="4.19921875" style="203" customWidth="1"/>
    <col min="145" max="145" width="7.19921875" style="203" bestFit="1" customWidth="1"/>
    <col min="146" max="147" width="4.19921875" style="203" bestFit="1" customWidth="1"/>
    <col min="148" max="148" width="5.19921875" style="203" bestFit="1" customWidth="1"/>
    <col min="149" max="149" width="4.19921875" style="203" bestFit="1" customWidth="1"/>
    <col min="150" max="150" width="5.19921875" style="203" bestFit="1" customWidth="1"/>
    <col min="151" max="152" width="6.69921875" style="203" bestFit="1" customWidth="1"/>
    <col min="153" max="159" width="4.19921875" style="203" bestFit="1" customWidth="1"/>
    <col min="160" max="161" width="4.69921875" style="203" bestFit="1" customWidth="1"/>
    <col min="162" max="162" width="6.19921875" style="203" bestFit="1" customWidth="1"/>
    <col min="163" max="164" width="6.69921875" style="203" bestFit="1" customWidth="1"/>
    <col min="165" max="166" width="4.19921875" style="203" bestFit="1" customWidth="1"/>
    <col min="167" max="167" width="8.19921875" style="203" bestFit="1" customWidth="1"/>
    <col min="168" max="168" width="4.19921875" style="203" bestFit="1" customWidth="1"/>
    <col min="169" max="169" width="5.69921875" style="203" bestFit="1" customWidth="1"/>
    <col min="170" max="171" width="4.19921875" style="203" bestFit="1" customWidth="1"/>
    <col min="172" max="172" width="5.19921875" style="203" bestFit="1" customWidth="1"/>
    <col min="173" max="173" width="4.69921875" style="203" bestFit="1" customWidth="1"/>
    <col min="174" max="174" width="4.19921875" style="203" bestFit="1" customWidth="1"/>
    <col min="175" max="175" width="7.19921875" style="203" bestFit="1" customWidth="1"/>
    <col min="176" max="178" width="4.19921875" style="203" bestFit="1" customWidth="1"/>
    <col min="179" max="179" width="4.19921875" style="203" customWidth="1"/>
    <col min="180" max="181" width="4.19921875" style="203" bestFit="1" customWidth="1"/>
    <col min="182" max="182" width="5.5" style="203" bestFit="1" customWidth="1"/>
    <col min="183" max="183" width="4.19921875" style="203" bestFit="1" customWidth="1"/>
    <col min="184" max="184" width="6.69921875" style="203" bestFit="1" customWidth="1"/>
    <col min="185" max="185" width="5" style="203" bestFit="1" customWidth="1"/>
    <col min="186" max="186" width="6.19921875" style="203" bestFit="1" customWidth="1"/>
    <col min="187" max="187" width="4.69921875" style="203" bestFit="1" customWidth="1"/>
    <col min="188" max="188" width="5.19921875" style="203" bestFit="1" customWidth="1"/>
    <col min="189" max="189" width="4.19921875" style="203" bestFit="1" customWidth="1"/>
    <col min="190" max="190" width="5.19921875" style="203" bestFit="1" customWidth="1"/>
    <col min="191" max="191" width="5" style="203" bestFit="1" customWidth="1"/>
    <col min="192" max="192" width="5.19921875" style="203" bestFit="1" customWidth="1"/>
    <col min="193" max="193" width="4.69921875" style="203" bestFit="1" customWidth="1"/>
    <col min="194" max="202" width="5.19921875" style="203" bestFit="1" customWidth="1"/>
    <col min="203" max="204" width="6.19921875" style="203" bestFit="1" customWidth="1"/>
    <col min="205" max="210" width="4.19921875" style="203" bestFit="1" customWidth="1"/>
    <col min="211" max="217" width="6.5" style="203" bestFit="1" customWidth="1"/>
    <col min="218" max="221" width="4.19921875" style="203" bestFit="1" customWidth="1"/>
    <col min="222" max="226" width="7.69921875" style="203" bestFit="1" customWidth="1"/>
    <col min="227" max="227" width="6" style="203" customWidth="1"/>
    <col min="228" max="235" width="6" style="203" bestFit="1" customWidth="1"/>
    <col min="236" max="240" width="7.19921875" style="203" bestFit="1" customWidth="1"/>
    <col min="241" max="245" width="5.69921875" style="203" bestFit="1" customWidth="1"/>
    <col min="246" max="249" width="6.19921875" style="203" bestFit="1" customWidth="1"/>
    <col min="250" max="258" width="4.19921875" style="203" bestFit="1" customWidth="1"/>
    <col min="259" max="264" width="4.69921875" style="203" bestFit="1" customWidth="1"/>
    <col min="265" max="270" width="6.19921875" style="203" bestFit="1" customWidth="1"/>
    <col min="271" max="279" width="6" style="203" bestFit="1" customWidth="1"/>
    <col min="280" max="280" width="7" style="203" bestFit="1" customWidth="1"/>
    <col min="281" max="283" width="5.19921875" style="203" bestFit="1" customWidth="1"/>
    <col min="284" max="287" width="5.69921875" style="203" bestFit="1" customWidth="1"/>
    <col min="288" max="422" width="4.69921875" style="203" customWidth="1"/>
    <col min="423" max="424" width="6" style="203" bestFit="1" customWidth="1"/>
    <col min="425" max="427" width="4.69921875" style="203" bestFit="1" customWidth="1"/>
    <col min="428" max="428" width="6" style="203" bestFit="1" customWidth="1"/>
    <col min="429" max="431" width="4.69921875" style="203" bestFit="1" customWidth="1"/>
    <col min="432" max="432" width="6" style="203" bestFit="1" customWidth="1"/>
    <col min="433" max="435" width="5.69921875" style="203" bestFit="1" customWidth="1"/>
    <col min="436" max="436" width="6" style="203" bestFit="1" customWidth="1"/>
    <col min="437" max="439" width="5.69921875" style="203" bestFit="1" customWidth="1"/>
    <col min="440" max="440" width="6" style="203" bestFit="1" customWidth="1"/>
    <col min="441" max="443" width="5.69921875" style="203" bestFit="1" customWidth="1"/>
    <col min="444" max="449" width="4.69921875" style="203" bestFit="1" customWidth="1"/>
    <col min="450" max="450" width="6" style="203" bestFit="1" customWidth="1"/>
    <col min="451" max="452" width="4.69921875" style="203" bestFit="1" customWidth="1"/>
    <col min="453" max="463" width="5.69921875" style="203" bestFit="1" customWidth="1"/>
    <col min="464" max="465" width="6" style="203" bestFit="1" customWidth="1"/>
    <col min="466" max="466" width="5.69921875" style="203" bestFit="1" customWidth="1"/>
    <col min="467" max="467" width="6" style="203" bestFit="1" customWidth="1"/>
    <col min="468" max="468" width="5.69921875" style="203" bestFit="1" customWidth="1"/>
    <col min="469" max="470" width="6" style="203" bestFit="1" customWidth="1"/>
    <col min="471" max="475" width="5.69921875" style="203" bestFit="1" customWidth="1"/>
    <col min="476" max="476" width="8.19921875" style="203" bestFit="1" customWidth="1"/>
    <col min="477" max="481" width="6" style="203" bestFit="1" customWidth="1"/>
    <col min="482" max="482" width="5.69921875" style="203" bestFit="1" customWidth="1"/>
    <col min="483" max="483" width="6" style="203" bestFit="1" customWidth="1"/>
    <col min="484" max="485" width="5.69921875" style="203" bestFit="1" customWidth="1"/>
    <col min="486" max="489" width="6" style="203" bestFit="1" customWidth="1"/>
    <col min="490" max="490" width="8.19921875" style="203" bestFit="1" customWidth="1"/>
    <col min="491" max="491" width="8.69921875" style="203" bestFit="1" customWidth="1"/>
    <col min="492" max="492" width="8.19921875" style="203" bestFit="1" customWidth="1"/>
    <col min="493" max="493" width="8.69921875" style="203" bestFit="1" customWidth="1"/>
    <col min="494" max="494" width="13.5" style="203" bestFit="1" customWidth="1"/>
    <col min="495" max="495" width="13.69921875" style="203" bestFit="1" customWidth="1"/>
    <col min="496" max="496" width="8.69921875" style="203" bestFit="1" customWidth="1"/>
    <col min="497" max="497" width="11.19921875" style="203" bestFit="1" customWidth="1"/>
    <col min="498" max="498" width="11" style="203" bestFit="1" customWidth="1"/>
    <col min="499" max="499" width="5.69921875" style="203" bestFit="1" customWidth="1"/>
    <col min="500" max="500" width="6" style="203" bestFit="1" customWidth="1"/>
    <col min="501" max="501" width="5.69921875" style="203" bestFit="1" customWidth="1"/>
    <col min="502" max="503" width="6" style="203" bestFit="1" customWidth="1"/>
    <col min="504" max="504" width="8" style="203" bestFit="1" customWidth="1"/>
    <col min="505" max="506" width="6" style="203" bestFit="1" customWidth="1"/>
    <col min="507" max="507" width="5.69921875" style="203" bestFit="1" customWidth="1"/>
    <col min="508" max="513" width="6" style="203" bestFit="1" customWidth="1"/>
    <col min="514" max="530" width="6.69921875" style="203" bestFit="1" customWidth="1"/>
    <col min="531" max="531" width="8.69921875" style="203" bestFit="1" customWidth="1"/>
    <col min="532" max="532" width="6.69921875" style="203" bestFit="1" customWidth="1"/>
    <col min="533" max="539" width="8.69921875" style="203" bestFit="1" customWidth="1"/>
    <col min="540" max="543" width="6" style="203" bestFit="1" customWidth="1"/>
    <col min="544" max="544" width="5.69921875" style="203" bestFit="1" customWidth="1"/>
    <col min="545" max="546" width="8.69921875" style="203" bestFit="1" customWidth="1"/>
    <col min="547" max="547" width="11.19921875" style="203" bestFit="1" customWidth="1"/>
    <col min="548" max="548" width="6" style="203" bestFit="1" customWidth="1"/>
    <col min="549" max="551" width="6.69921875" style="203" bestFit="1" customWidth="1"/>
    <col min="552" max="552" width="8.69921875" style="203" bestFit="1" customWidth="1"/>
    <col min="553" max="553" width="16.19921875" style="203" bestFit="1" customWidth="1"/>
    <col min="554" max="554" width="5.69921875" style="203" bestFit="1" customWidth="1"/>
    <col min="555" max="555" width="6" style="203" bestFit="1" customWidth="1"/>
    <col min="556" max="556" width="8.69921875" style="203" bestFit="1" customWidth="1"/>
    <col min="557" max="557" width="16.19921875" style="203" bestFit="1" customWidth="1"/>
    <col min="558" max="561" width="5.69921875" style="203" bestFit="1" customWidth="1"/>
    <col min="562" max="566" width="6.69921875" style="203" bestFit="1" customWidth="1"/>
    <col min="567" max="567" width="6.69921875" style="203" customWidth="1"/>
    <col min="568" max="569" width="6.69921875" style="203" bestFit="1" customWidth="1"/>
    <col min="570" max="570" width="8.69921875" style="203" bestFit="1" customWidth="1"/>
    <col min="571" max="571" width="8.19921875" style="203" bestFit="1" customWidth="1"/>
    <col min="572" max="573" width="6.69921875" style="203" bestFit="1" customWidth="1"/>
    <col min="574" max="575" width="8.69921875" style="203" bestFit="1" customWidth="1"/>
    <col min="576" max="579" width="6.69921875" style="203" bestFit="1" customWidth="1"/>
    <col min="580" max="580" width="8.69921875" style="203" bestFit="1" customWidth="1"/>
    <col min="581" max="581" width="8.19921875" style="203" bestFit="1" customWidth="1"/>
    <col min="582" max="584" width="6.69921875" style="203" bestFit="1" customWidth="1"/>
    <col min="585" max="585" width="8.69921875" style="203" bestFit="1" customWidth="1"/>
    <col min="586" max="587" width="5.69921875" style="203" bestFit="1" customWidth="1"/>
  </cols>
  <sheetData>
    <row r="1" spans="1:587" ht="16.2" thickBot="1">
      <c r="A1" s="454" t="str">
        <f>Language!A1674</f>
        <v>Refer to the User Guide for Export instructions. Failure to follow directions will result in major errors.</v>
      </c>
      <c r="B1" s="393"/>
      <c r="C1" s="393"/>
      <c r="D1" s="393"/>
      <c r="E1" s="393"/>
      <c r="F1" s="393"/>
      <c r="G1" s="393"/>
      <c r="H1" s="393"/>
      <c r="I1" s="393"/>
      <c r="J1" s="393"/>
      <c r="K1" s="393"/>
      <c r="L1" s="393"/>
      <c r="M1" s="393"/>
      <c r="N1" s="393"/>
      <c r="O1" s="393"/>
      <c r="P1" s="393"/>
      <c r="Q1" s="393"/>
      <c r="R1" s="393"/>
      <c r="S1" s="393"/>
      <c r="T1" s="393"/>
    </row>
    <row r="2" spans="1:587">
      <c r="B2" s="653" t="s">
        <v>6697</v>
      </c>
      <c r="C2" s="654"/>
      <c r="D2" s="654"/>
      <c r="E2" s="654"/>
      <c r="F2" s="654"/>
      <c r="G2" s="654"/>
      <c r="H2" s="654"/>
      <c r="I2" s="654"/>
      <c r="J2" s="654"/>
      <c r="K2" s="654"/>
      <c r="L2" s="654"/>
      <c r="M2" s="654"/>
      <c r="N2" s="654"/>
      <c r="O2" s="654"/>
      <c r="P2" s="654"/>
      <c r="Q2" s="654"/>
      <c r="R2" s="654"/>
      <c r="S2" s="657"/>
      <c r="T2" s="653" t="s">
        <v>6698</v>
      </c>
      <c r="U2" s="654"/>
      <c r="V2" s="654"/>
      <c r="W2" s="654"/>
      <c r="X2" s="657"/>
      <c r="Y2" s="653" t="s">
        <v>6699</v>
      </c>
      <c r="Z2" s="654"/>
      <c r="AA2" s="654"/>
      <c r="AB2" s="655"/>
      <c r="AC2" s="653" t="s">
        <v>6700</v>
      </c>
      <c r="AD2" s="654"/>
      <c r="AE2" s="654"/>
      <c r="AF2" s="654"/>
      <c r="AG2" s="654"/>
      <c r="AH2" s="655"/>
      <c r="AI2" s="653" t="s">
        <v>6701</v>
      </c>
      <c r="AJ2" s="654"/>
      <c r="AK2" s="654"/>
      <c r="AL2" s="654"/>
      <c r="AM2" s="654"/>
      <c r="AN2" s="655"/>
      <c r="AO2" s="653" t="s">
        <v>6702</v>
      </c>
      <c r="AP2" s="654"/>
      <c r="AQ2" s="654"/>
      <c r="AR2" s="654"/>
      <c r="AS2" s="654"/>
      <c r="AT2" s="655"/>
      <c r="AU2" s="653" t="s">
        <v>6703</v>
      </c>
      <c r="AV2" s="654"/>
      <c r="AW2" s="654"/>
      <c r="AX2" s="654"/>
      <c r="AY2" s="654"/>
      <c r="AZ2" s="654"/>
      <c r="BA2" s="655"/>
      <c r="BB2" s="653" t="s">
        <v>155</v>
      </c>
      <c r="BC2" s="654"/>
      <c r="BD2" s="654"/>
      <c r="BE2" s="654"/>
      <c r="BF2" s="654"/>
      <c r="BG2" s="654"/>
      <c r="BH2" s="654"/>
      <c r="BI2" s="654"/>
      <c r="BJ2" s="654"/>
      <c r="BK2" s="654"/>
      <c r="BL2" s="654"/>
      <c r="BM2" s="654"/>
      <c r="BN2" s="654"/>
      <c r="BO2" s="654"/>
      <c r="BP2" s="654"/>
      <c r="BQ2" s="654"/>
      <c r="BR2" s="654"/>
      <c r="BS2" s="654"/>
      <c r="BT2" s="654"/>
      <c r="BU2" s="654"/>
      <c r="BV2" s="655"/>
      <c r="BW2" s="653" t="s">
        <v>223</v>
      </c>
      <c r="BX2" s="654"/>
      <c r="BY2" s="654"/>
      <c r="BZ2" s="654"/>
      <c r="CA2" s="654"/>
      <c r="CB2" s="655"/>
      <c r="CC2" s="658" t="s">
        <v>6704</v>
      </c>
      <c r="CD2" s="659"/>
      <c r="CE2" s="659"/>
      <c r="CF2" s="659"/>
      <c r="CG2" s="659"/>
      <c r="CH2" s="659"/>
      <c r="CI2" s="659"/>
      <c r="CJ2" s="659"/>
      <c r="CK2" s="659"/>
      <c r="CL2" s="659"/>
      <c r="CM2" s="659"/>
      <c r="CN2" s="659"/>
      <c r="CO2" s="659"/>
      <c r="CP2" s="659"/>
      <c r="CQ2" s="659"/>
      <c r="CR2" s="659"/>
      <c r="CS2" s="659"/>
      <c r="CT2" s="659"/>
      <c r="CU2" s="659"/>
      <c r="CV2" s="659"/>
      <c r="CW2" s="659"/>
      <c r="CX2" s="659"/>
      <c r="CY2" s="659"/>
      <c r="CZ2" s="659"/>
      <c r="DA2" s="660"/>
      <c r="DB2" s="658" t="s">
        <v>6705</v>
      </c>
      <c r="DC2" s="659"/>
      <c r="DD2" s="659"/>
      <c r="DE2" s="659"/>
      <c r="DF2" s="659"/>
      <c r="DG2" s="659"/>
      <c r="DH2" s="659"/>
      <c r="DI2" s="659"/>
      <c r="DJ2" s="659"/>
      <c r="DK2" s="659"/>
      <c r="DL2" s="659"/>
      <c r="DM2" s="659"/>
      <c r="DN2" s="659"/>
      <c r="DO2" s="659"/>
      <c r="DP2" s="659"/>
      <c r="DQ2" s="659"/>
      <c r="DR2" s="659"/>
      <c r="DS2" s="659"/>
      <c r="DT2" s="659"/>
      <c r="DU2" s="659"/>
      <c r="DV2" s="659"/>
      <c r="DW2" s="659"/>
      <c r="DX2" s="659"/>
      <c r="DY2" s="659"/>
      <c r="DZ2" s="660"/>
      <c r="EA2" s="653" t="s">
        <v>251</v>
      </c>
      <c r="EB2" s="654"/>
      <c r="EC2" s="654"/>
      <c r="ED2" s="654"/>
      <c r="EE2" s="654"/>
      <c r="EF2" s="654"/>
      <c r="EG2" s="654"/>
      <c r="EH2" s="654"/>
      <c r="EI2" s="654"/>
      <c r="EJ2" s="654"/>
      <c r="EK2" s="654"/>
      <c r="EL2" s="654"/>
      <c r="EM2" s="655"/>
      <c r="EN2" s="653" t="s">
        <v>919</v>
      </c>
      <c r="EO2" s="654"/>
      <c r="EP2" s="654"/>
      <c r="EQ2" s="654"/>
      <c r="ER2" s="654"/>
      <c r="ES2" s="654"/>
      <c r="ET2" s="654"/>
      <c r="EU2" s="654"/>
      <c r="EV2" s="654"/>
      <c r="EW2" s="654"/>
      <c r="EX2" s="654"/>
      <c r="EY2" s="654"/>
      <c r="EZ2" s="654"/>
      <c r="FA2" s="654"/>
      <c r="FB2" s="654"/>
      <c r="FC2" s="654"/>
      <c r="FD2" s="654"/>
      <c r="FE2" s="654"/>
      <c r="FF2" s="654"/>
      <c r="FG2" s="654"/>
      <c r="FH2" s="655"/>
      <c r="FI2" s="653" t="s">
        <v>6706</v>
      </c>
      <c r="FJ2" s="654"/>
      <c r="FK2" s="654"/>
      <c r="FL2" s="654"/>
      <c r="FM2" s="654"/>
      <c r="FN2" s="655"/>
      <c r="FO2" s="653" t="s">
        <v>6707</v>
      </c>
      <c r="FP2" s="654"/>
      <c r="FQ2" s="654"/>
      <c r="FR2" s="654"/>
      <c r="FS2" s="657"/>
      <c r="FT2" s="653" t="s">
        <v>6708</v>
      </c>
      <c r="FU2" s="654"/>
      <c r="FV2" s="655"/>
      <c r="FW2" s="276" t="s">
        <v>6709</v>
      </c>
      <c r="FX2" s="656" t="s">
        <v>6710</v>
      </c>
      <c r="FY2" s="654"/>
      <c r="FZ2" s="654"/>
      <c r="GA2" s="654"/>
      <c r="GB2" s="654"/>
      <c r="GC2" s="654"/>
      <c r="GD2" s="654"/>
      <c r="GE2" s="654"/>
      <c r="GF2" s="654"/>
      <c r="GG2" s="654"/>
      <c r="GH2" s="654"/>
      <c r="GI2" s="654"/>
      <c r="GJ2" s="654"/>
      <c r="GK2" s="655"/>
      <c r="GL2" s="653" t="s">
        <v>6711</v>
      </c>
      <c r="GM2" s="654"/>
      <c r="GN2" s="654"/>
      <c r="GO2" s="654"/>
      <c r="GP2" s="654"/>
      <c r="GQ2" s="654"/>
      <c r="GR2" s="654"/>
      <c r="GS2" s="654"/>
      <c r="GT2" s="654"/>
      <c r="GU2" s="654"/>
      <c r="GV2" s="655"/>
      <c r="GW2" s="653" t="s">
        <v>6549</v>
      </c>
      <c r="GX2" s="654"/>
      <c r="GY2" s="654"/>
      <c r="GZ2" s="654"/>
      <c r="HA2" s="654"/>
      <c r="HB2" s="655"/>
      <c r="HC2" s="653" t="s">
        <v>6712</v>
      </c>
      <c r="HD2" s="654"/>
      <c r="HE2" s="654"/>
      <c r="HF2" s="654"/>
      <c r="HG2" s="654"/>
      <c r="HH2" s="654"/>
      <c r="HI2" s="655"/>
      <c r="HJ2" s="653" t="s">
        <v>6713</v>
      </c>
      <c r="HK2" s="654"/>
      <c r="HL2" s="654"/>
      <c r="HM2" s="655"/>
      <c r="HN2" s="653" t="s">
        <v>6714</v>
      </c>
      <c r="HO2" s="654"/>
      <c r="HP2" s="654"/>
      <c r="HQ2" s="654"/>
      <c r="HR2" s="654"/>
      <c r="HS2" s="657"/>
      <c r="HT2" s="656" t="s">
        <v>350</v>
      </c>
      <c r="HU2" s="654"/>
      <c r="HV2" s="654"/>
      <c r="HW2" s="654"/>
      <c r="HX2" s="654"/>
      <c r="HY2" s="654"/>
      <c r="HZ2" s="654"/>
      <c r="IA2" s="657"/>
      <c r="IB2" s="656" t="s">
        <v>354</v>
      </c>
      <c r="IC2" s="654"/>
      <c r="ID2" s="654"/>
      <c r="IE2" s="654"/>
      <c r="IF2" s="657"/>
      <c r="IG2" s="656" t="s">
        <v>6715</v>
      </c>
      <c r="IH2" s="654"/>
      <c r="II2" s="654"/>
      <c r="IJ2" s="654"/>
      <c r="IK2" s="657"/>
      <c r="IL2" s="653" t="s">
        <v>6573</v>
      </c>
      <c r="IM2" s="654"/>
      <c r="IN2" s="654"/>
      <c r="IO2" s="657"/>
      <c r="IP2" s="656" t="s">
        <v>6582</v>
      </c>
      <c r="IQ2" s="654"/>
      <c r="IR2" s="654"/>
      <c r="IS2" s="654"/>
      <c r="IT2" s="654"/>
      <c r="IU2" s="654"/>
      <c r="IV2" s="654"/>
      <c r="IW2" s="654"/>
      <c r="IX2" s="654"/>
      <c r="IY2" s="654"/>
      <c r="IZ2" s="654"/>
      <c r="JA2" s="654"/>
      <c r="JB2" s="654"/>
      <c r="JC2" s="654"/>
      <c r="JD2" s="657"/>
      <c r="JE2" s="656" t="s">
        <v>6588</v>
      </c>
      <c r="JF2" s="654"/>
      <c r="JG2" s="654"/>
      <c r="JH2" s="654"/>
      <c r="JI2" s="654"/>
      <c r="JJ2" s="657"/>
      <c r="JK2" s="656" t="s">
        <v>6716</v>
      </c>
      <c r="JL2" s="654"/>
      <c r="JM2" s="654"/>
      <c r="JN2" s="654"/>
      <c r="JO2" s="654"/>
      <c r="JP2" s="654"/>
      <c r="JQ2" s="654"/>
      <c r="JR2" s="654"/>
      <c r="JS2" s="654"/>
      <c r="JT2" s="657"/>
      <c r="JU2" s="656" t="s">
        <v>6717</v>
      </c>
      <c r="JV2" s="654"/>
      <c r="JW2" s="657"/>
      <c r="JX2" s="656" t="s">
        <v>6718</v>
      </c>
      <c r="JY2" s="654"/>
      <c r="JZ2" s="654"/>
      <c r="KA2" s="655"/>
      <c r="KB2" s="653" t="s">
        <v>6719</v>
      </c>
      <c r="KC2" s="654"/>
      <c r="KD2" s="654"/>
      <c r="KE2" s="654"/>
      <c r="KF2" s="654"/>
      <c r="KG2" s="654"/>
      <c r="KH2" s="654"/>
      <c r="KI2" s="654"/>
      <c r="KJ2" s="654"/>
      <c r="KK2" s="654"/>
      <c r="KL2" s="654"/>
      <c r="KM2" s="654"/>
      <c r="KN2" s="654"/>
      <c r="KO2" s="654"/>
      <c r="KP2" s="654"/>
      <c r="KQ2" s="654"/>
      <c r="KR2" s="654"/>
      <c r="KS2" s="654"/>
      <c r="KT2" s="654"/>
      <c r="KU2" s="654"/>
      <c r="KV2" s="654"/>
      <c r="KW2" s="654"/>
      <c r="KX2" s="654"/>
      <c r="KY2" s="654"/>
      <c r="KZ2" s="654"/>
      <c r="LA2" s="654"/>
      <c r="LB2" s="654"/>
      <c r="LC2" s="654"/>
      <c r="LD2" s="654"/>
      <c r="LE2" s="654"/>
      <c r="LF2" s="654"/>
      <c r="LG2" s="654"/>
      <c r="LH2" s="654"/>
      <c r="LI2" s="654"/>
      <c r="LJ2" s="654"/>
      <c r="LK2" s="654"/>
      <c r="LL2" s="654"/>
      <c r="LM2" s="654"/>
      <c r="LN2" s="654"/>
      <c r="LO2" s="654"/>
      <c r="LP2" s="654"/>
      <c r="LQ2" s="654"/>
      <c r="LR2" s="654"/>
      <c r="LS2" s="654"/>
      <c r="LT2" s="654"/>
      <c r="LU2" s="654"/>
      <c r="LV2" s="654"/>
      <c r="LW2" s="654"/>
      <c r="LX2" s="654"/>
      <c r="LY2" s="654"/>
      <c r="LZ2" s="654"/>
      <c r="MA2" s="654"/>
      <c r="MB2" s="654"/>
      <c r="MC2" s="654"/>
      <c r="MD2" s="654"/>
      <c r="ME2" s="654"/>
      <c r="MF2" s="654"/>
      <c r="MG2" s="654"/>
      <c r="MH2" s="654"/>
      <c r="MI2" s="654"/>
      <c r="MJ2" s="654"/>
      <c r="MK2" s="654"/>
      <c r="ML2" s="654"/>
      <c r="MM2" s="654"/>
      <c r="MN2" s="654"/>
      <c r="MO2" s="654"/>
      <c r="MP2" s="654"/>
      <c r="MQ2" s="654"/>
      <c r="MR2" s="654"/>
      <c r="MS2" s="654"/>
      <c r="MT2" s="654"/>
      <c r="MU2" s="654"/>
      <c r="MV2" s="654"/>
      <c r="MW2" s="654"/>
      <c r="MX2" s="654"/>
      <c r="MY2" s="654"/>
      <c r="MZ2" s="654"/>
      <c r="NA2" s="654"/>
      <c r="NB2" s="654"/>
      <c r="NC2" s="654"/>
      <c r="ND2" s="654"/>
      <c r="NE2" s="654"/>
      <c r="NF2" s="654"/>
      <c r="NG2" s="654"/>
      <c r="NH2" s="654"/>
      <c r="NI2" s="654"/>
      <c r="NJ2" s="654"/>
      <c r="NK2" s="654"/>
      <c r="NL2" s="654"/>
      <c r="NM2" s="654"/>
      <c r="NN2" s="654"/>
      <c r="NO2" s="654"/>
      <c r="NP2" s="654"/>
      <c r="NQ2" s="654"/>
      <c r="NR2" s="654"/>
      <c r="NS2" s="654"/>
      <c r="NT2" s="654"/>
      <c r="NU2" s="654"/>
      <c r="NV2" s="654"/>
      <c r="NW2" s="654"/>
      <c r="NX2" s="655"/>
      <c r="NY2" s="653" t="s">
        <v>6720</v>
      </c>
      <c r="NZ2" s="654"/>
      <c r="OA2" s="654"/>
      <c r="OB2" s="654"/>
      <c r="OC2" s="654"/>
      <c r="OD2" s="654"/>
      <c r="OE2" s="654"/>
      <c r="OF2" s="654"/>
      <c r="OG2" s="654"/>
      <c r="OH2" s="655"/>
      <c r="OI2" s="653" t="s">
        <v>6721</v>
      </c>
      <c r="OJ2" s="656"/>
      <c r="OK2" s="654"/>
      <c r="OL2" s="654"/>
      <c r="OM2" s="654"/>
      <c r="ON2" s="654"/>
      <c r="OO2" s="654"/>
      <c r="OP2" s="654"/>
      <c r="OQ2" s="654"/>
      <c r="OR2" s="654"/>
      <c r="OS2" s="654"/>
      <c r="OT2" s="654"/>
      <c r="OU2" s="654"/>
      <c r="OV2" s="654"/>
      <c r="OW2" s="654"/>
      <c r="OX2" s="654"/>
      <c r="OY2" s="654"/>
      <c r="OZ2" s="654"/>
      <c r="PA2" s="654"/>
      <c r="PB2" s="654"/>
      <c r="PC2" s="654"/>
      <c r="PD2" s="654"/>
      <c r="PE2" s="654"/>
      <c r="PF2" s="655"/>
      <c r="PG2" s="653" t="s">
        <v>6722</v>
      </c>
      <c r="PH2" s="654"/>
      <c r="PI2" s="654"/>
      <c r="PJ2" s="654"/>
      <c r="PK2" s="654"/>
      <c r="PL2" s="654"/>
      <c r="PM2" s="654"/>
      <c r="PN2" s="654"/>
      <c r="PO2" s="654"/>
      <c r="PP2" s="654"/>
      <c r="PQ2" s="654"/>
      <c r="PR2" s="654"/>
      <c r="PS2" s="654"/>
      <c r="PT2" s="654"/>
      <c r="PU2" s="654"/>
      <c r="PV2" s="654"/>
      <c r="PW2" s="654"/>
      <c r="PX2" s="654"/>
      <c r="PY2" s="654"/>
      <c r="PZ2" s="654"/>
      <c r="QA2" s="655"/>
      <c r="QB2" s="653" t="s">
        <v>6723</v>
      </c>
      <c r="QC2" s="654"/>
      <c r="QD2" s="654"/>
      <c r="QE2" s="654"/>
      <c r="QF2" s="654"/>
      <c r="QG2" s="654"/>
      <c r="QH2" s="654"/>
      <c r="QI2" s="654"/>
      <c r="QJ2" s="654"/>
      <c r="QK2" s="654"/>
      <c r="QL2" s="654"/>
      <c r="QM2" s="654"/>
      <c r="QN2" s="654"/>
      <c r="QO2" s="654"/>
      <c r="QP2" s="654"/>
      <c r="QQ2" s="654"/>
      <c r="QR2" s="654"/>
      <c r="QS2" s="654"/>
      <c r="QT2" s="654"/>
      <c r="QU2" s="654"/>
      <c r="QV2" s="654"/>
      <c r="QW2" s="654"/>
      <c r="QX2" s="654"/>
      <c r="QY2" s="654"/>
      <c r="QZ2" s="654"/>
      <c r="RA2" s="654"/>
      <c r="RB2" s="654"/>
      <c r="RC2" s="654"/>
      <c r="RD2" s="654"/>
      <c r="RE2" s="654"/>
      <c r="RF2" s="654"/>
      <c r="RG2" s="654"/>
      <c r="RH2" s="654"/>
      <c r="RI2" s="654"/>
      <c r="RJ2" s="654"/>
      <c r="RK2" s="654"/>
      <c r="RL2" s="654"/>
      <c r="RM2" s="654"/>
      <c r="RN2" s="654"/>
      <c r="RO2" s="654"/>
      <c r="RP2" s="654"/>
      <c r="RQ2" s="654"/>
      <c r="RR2" s="654"/>
      <c r="RS2" s="654"/>
      <c r="RT2" s="655"/>
      <c r="RU2" s="653" t="s">
        <v>6724</v>
      </c>
      <c r="RV2" s="654"/>
      <c r="RW2" s="654"/>
      <c r="RX2" s="654"/>
      <c r="RY2" s="654"/>
      <c r="RZ2" s="654"/>
      <c r="SA2" s="654"/>
      <c r="SB2" s="654"/>
      <c r="SC2" s="654"/>
      <c r="SD2" s="654"/>
      <c r="SE2" s="654"/>
      <c r="SF2" s="654"/>
      <c r="SG2" s="655"/>
      <c r="SH2" s="653" t="s">
        <v>6725</v>
      </c>
      <c r="SI2" s="655"/>
      <c r="SJ2" s="554" t="s">
        <v>6726</v>
      </c>
      <c r="SK2" s="653" t="s">
        <v>6727</v>
      </c>
      <c r="SL2" s="654"/>
      <c r="SM2" s="654"/>
      <c r="SN2" s="654"/>
      <c r="SO2" s="654"/>
      <c r="SP2" s="654"/>
      <c r="SQ2" s="654"/>
      <c r="SR2" s="654"/>
      <c r="SS2" s="654"/>
      <c r="ST2" s="654"/>
      <c r="SU2" s="654"/>
      <c r="SV2" s="654"/>
      <c r="SW2" s="654"/>
      <c r="SX2" s="654"/>
      <c r="SY2" s="654"/>
      <c r="SZ2" s="654"/>
      <c r="TA2" s="654"/>
      <c r="TB2" s="654"/>
      <c r="TC2" s="654"/>
      <c r="TD2" s="654"/>
      <c r="TE2" s="654"/>
      <c r="TF2" s="654"/>
      <c r="TG2" s="654"/>
      <c r="TH2" s="654"/>
      <c r="TI2" s="654"/>
      <c r="TJ2" s="654"/>
      <c r="TK2" s="654"/>
      <c r="TL2" s="654"/>
      <c r="TM2" s="654"/>
      <c r="TN2" s="654"/>
      <c r="TO2" s="654"/>
      <c r="TP2" s="654"/>
      <c r="TQ2" s="654"/>
      <c r="TR2" s="654"/>
      <c r="TS2" s="655"/>
      <c r="TT2" s="658" t="s">
        <v>6728</v>
      </c>
      <c r="TU2" s="659"/>
      <c r="TV2" s="659"/>
      <c r="TW2" s="659"/>
      <c r="TX2" s="659"/>
      <c r="TY2" s="659"/>
      <c r="TZ2" s="659"/>
      <c r="UA2" s="659"/>
      <c r="UB2" s="659"/>
      <c r="UC2" s="659"/>
      <c r="UD2" s="659"/>
      <c r="UE2" s="659"/>
      <c r="UF2" s="660"/>
      <c r="UG2" s="653" t="s">
        <v>6729</v>
      </c>
      <c r="UH2" s="654"/>
      <c r="UI2" s="654"/>
      <c r="UJ2" s="654"/>
      <c r="UK2" s="654"/>
      <c r="UL2" s="654"/>
      <c r="UM2" s="654"/>
      <c r="UN2" s="654"/>
      <c r="UO2" s="654"/>
      <c r="UP2" s="654"/>
      <c r="UQ2" s="654"/>
      <c r="UR2" s="654"/>
      <c r="US2" s="654"/>
      <c r="UT2" s="654"/>
      <c r="UU2" s="654"/>
      <c r="UV2" s="654"/>
      <c r="UW2" s="654"/>
      <c r="UX2" s="654"/>
      <c r="UY2" s="654"/>
      <c r="UZ2" s="654"/>
      <c r="VA2" s="654"/>
      <c r="VB2" s="654"/>
      <c r="VC2" s="654"/>
      <c r="VD2" s="654"/>
      <c r="VE2" s="654"/>
      <c r="VF2" s="654"/>
      <c r="VG2" s="654"/>
      <c r="VH2" s="654"/>
      <c r="VI2" s="654"/>
      <c r="VJ2" s="654"/>
      <c r="VK2" s="654"/>
      <c r="VL2" s="654"/>
      <c r="VM2" s="655"/>
      <c r="VN2" s="653" t="s">
        <v>6730</v>
      </c>
      <c r="VO2" s="657"/>
    </row>
    <row r="3" spans="1:587" s="274" customFormat="1" ht="364.95" customHeight="1" thickBot="1">
      <c r="A3" s="1" t="s">
        <v>6731</v>
      </c>
      <c r="B3" s="298" t="s">
        <v>1165</v>
      </c>
      <c r="C3" s="295" t="s">
        <v>1169</v>
      </c>
      <c r="D3" s="295" t="s">
        <v>1173</v>
      </c>
      <c r="E3" s="295" t="s">
        <v>1177</v>
      </c>
      <c r="F3" s="295" t="s">
        <v>1180</v>
      </c>
      <c r="G3" s="295" t="s">
        <v>148</v>
      </c>
      <c r="H3" s="295" t="s">
        <v>6732</v>
      </c>
      <c r="I3" s="295" t="s">
        <v>6733</v>
      </c>
      <c r="J3" s="295" t="s">
        <v>6734</v>
      </c>
      <c r="K3" s="295" t="s">
        <v>1161</v>
      </c>
      <c r="L3" s="295" t="s">
        <v>6735</v>
      </c>
      <c r="M3" s="295" t="s">
        <v>6736</v>
      </c>
      <c r="N3" s="295" t="s">
        <v>6737</v>
      </c>
      <c r="O3" s="295" t="s">
        <v>6738</v>
      </c>
      <c r="P3" s="295" t="s">
        <v>1253</v>
      </c>
      <c r="Q3" s="295" t="s">
        <v>6739</v>
      </c>
      <c r="R3" s="295" t="s">
        <v>6740</v>
      </c>
      <c r="S3" s="296" t="s">
        <v>6741</v>
      </c>
      <c r="T3" s="298" t="s">
        <v>231</v>
      </c>
      <c r="U3" s="295" t="s">
        <v>235</v>
      </c>
      <c r="V3" s="295" t="s">
        <v>239</v>
      </c>
      <c r="W3" s="295" t="s">
        <v>243</v>
      </c>
      <c r="X3" s="296" t="s">
        <v>247</v>
      </c>
      <c r="Y3" s="298" t="s">
        <v>1416</v>
      </c>
      <c r="Z3" s="295" t="s">
        <v>1417</v>
      </c>
      <c r="AA3" s="295" t="s">
        <v>1418</v>
      </c>
      <c r="AB3" s="297" t="s">
        <v>1419</v>
      </c>
      <c r="AC3" s="298" t="s">
        <v>1431</v>
      </c>
      <c r="AD3" s="295" t="s">
        <v>1435</v>
      </c>
      <c r="AE3" s="295" t="s">
        <v>1439</v>
      </c>
      <c r="AF3" s="295" t="s">
        <v>1441</v>
      </c>
      <c r="AG3" s="295" t="s">
        <v>1443</v>
      </c>
      <c r="AH3" s="297" t="s">
        <v>1419</v>
      </c>
      <c r="AI3" s="298" t="s">
        <v>1453</v>
      </c>
      <c r="AJ3" s="295" t="s">
        <v>1456</v>
      </c>
      <c r="AK3" s="295" t="s">
        <v>1459</v>
      </c>
      <c r="AL3" s="295" t="s">
        <v>1461</v>
      </c>
      <c r="AM3" s="295" t="s">
        <v>1464</v>
      </c>
      <c r="AN3" s="297" t="s">
        <v>1419</v>
      </c>
      <c r="AO3" s="298" t="s">
        <v>6742</v>
      </c>
      <c r="AP3" s="295" t="s">
        <v>6743</v>
      </c>
      <c r="AQ3" s="295" t="s">
        <v>6744</v>
      </c>
      <c r="AR3" s="295" t="s">
        <v>6745</v>
      </c>
      <c r="AS3" s="295" t="s">
        <v>6746</v>
      </c>
      <c r="AT3" s="297" t="s">
        <v>6747</v>
      </c>
      <c r="AU3" s="298" t="s">
        <v>1556</v>
      </c>
      <c r="AV3" s="295" t="s">
        <v>1558</v>
      </c>
      <c r="AW3" s="295" t="s">
        <v>1560</v>
      </c>
      <c r="AX3" s="295" t="s">
        <v>1561</v>
      </c>
      <c r="AY3" s="295" t="s">
        <v>1565</v>
      </c>
      <c r="AZ3" s="295" t="s">
        <v>6748</v>
      </c>
      <c r="BA3" s="297" t="s">
        <v>6749</v>
      </c>
      <c r="BB3" s="302" t="s">
        <v>159</v>
      </c>
      <c r="BC3" s="295" t="s">
        <v>163</v>
      </c>
      <c r="BD3" s="295" t="s">
        <v>167</v>
      </c>
      <c r="BE3" s="295" t="s">
        <v>1346</v>
      </c>
      <c r="BF3" s="295" t="s">
        <v>1350</v>
      </c>
      <c r="BG3" s="295" t="s">
        <v>6750</v>
      </c>
      <c r="BH3" s="295" t="s">
        <v>1353</v>
      </c>
      <c r="BI3" s="295" t="s">
        <v>6751</v>
      </c>
      <c r="BJ3" s="295" t="s">
        <v>171</v>
      </c>
      <c r="BK3" s="295" t="s">
        <v>175</v>
      </c>
      <c r="BL3" s="295" t="s">
        <v>179</v>
      </c>
      <c r="BM3" s="295" t="s">
        <v>183</v>
      </c>
      <c r="BN3" s="295" t="s">
        <v>187</v>
      </c>
      <c r="BO3" s="295" t="s">
        <v>191</v>
      </c>
      <c r="BP3" s="295" t="s">
        <v>195</v>
      </c>
      <c r="BQ3" s="295" t="s">
        <v>199</v>
      </c>
      <c r="BR3" s="295" t="s">
        <v>203</v>
      </c>
      <c r="BS3" s="295" t="s">
        <v>207</v>
      </c>
      <c r="BT3" s="295" t="s">
        <v>211</v>
      </c>
      <c r="BU3" s="295" t="s">
        <v>6752</v>
      </c>
      <c r="BV3" s="297" t="s">
        <v>219</v>
      </c>
      <c r="BW3" s="298" t="s">
        <v>227</v>
      </c>
      <c r="BX3" s="295" t="s">
        <v>231</v>
      </c>
      <c r="BY3" s="295" t="s">
        <v>235</v>
      </c>
      <c r="BZ3" s="295" t="s">
        <v>239</v>
      </c>
      <c r="CA3" s="295" t="s">
        <v>243</v>
      </c>
      <c r="CB3" s="297" t="s">
        <v>247</v>
      </c>
      <c r="CC3" s="298" t="s">
        <v>829</v>
      </c>
      <c r="CD3" s="295" t="s">
        <v>831</v>
      </c>
      <c r="CE3" s="295" t="s">
        <v>835</v>
      </c>
      <c r="CF3" s="295" t="s">
        <v>839</v>
      </c>
      <c r="CG3" s="295" t="s">
        <v>842</v>
      </c>
      <c r="CH3" s="295" t="s">
        <v>844</v>
      </c>
      <c r="CI3" s="295" t="s">
        <v>846</v>
      </c>
      <c r="CJ3" s="295" t="s">
        <v>850</v>
      </c>
      <c r="CK3" s="295" t="s">
        <v>854</v>
      </c>
      <c r="CL3" s="295" t="s">
        <v>858</v>
      </c>
      <c r="CM3" s="295" t="s">
        <v>861</v>
      </c>
      <c r="CN3" s="295" t="s">
        <v>865</v>
      </c>
      <c r="CO3" s="295" t="s">
        <v>869</v>
      </c>
      <c r="CP3" s="295" t="s">
        <v>870</v>
      </c>
      <c r="CQ3" s="295" t="s">
        <v>872</v>
      </c>
      <c r="CR3" s="295" t="s">
        <v>876</v>
      </c>
      <c r="CS3" s="295" t="s">
        <v>879</v>
      </c>
      <c r="CT3" s="295" t="s">
        <v>883</v>
      </c>
      <c r="CU3" s="295" t="s">
        <v>887</v>
      </c>
      <c r="CV3" s="295" t="s">
        <v>891</v>
      </c>
      <c r="CW3" s="295" t="s">
        <v>895</v>
      </c>
      <c r="CX3" s="295" t="s">
        <v>899</v>
      </c>
      <c r="CY3" s="295" t="s">
        <v>903</v>
      </c>
      <c r="CZ3" s="295" t="s">
        <v>907</v>
      </c>
      <c r="DA3" s="296" t="s">
        <v>911</v>
      </c>
      <c r="DB3" s="298" t="s">
        <v>829</v>
      </c>
      <c r="DC3" s="295" t="s">
        <v>831</v>
      </c>
      <c r="DD3" s="295" t="s">
        <v>835</v>
      </c>
      <c r="DE3" s="295" t="s">
        <v>839</v>
      </c>
      <c r="DF3" s="295" t="s">
        <v>842</v>
      </c>
      <c r="DG3" s="295" t="s">
        <v>844</v>
      </c>
      <c r="DH3" s="295" t="s">
        <v>846</v>
      </c>
      <c r="DI3" s="295" t="s">
        <v>850</v>
      </c>
      <c r="DJ3" s="295" t="s">
        <v>854</v>
      </c>
      <c r="DK3" s="295" t="s">
        <v>858</v>
      </c>
      <c r="DL3" s="295" t="s">
        <v>861</v>
      </c>
      <c r="DM3" s="295" t="s">
        <v>865</v>
      </c>
      <c r="DN3" s="295" t="s">
        <v>869</v>
      </c>
      <c r="DO3" s="295" t="s">
        <v>870</v>
      </c>
      <c r="DP3" s="295" t="s">
        <v>872</v>
      </c>
      <c r="DQ3" s="295" t="s">
        <v>876</v>
      </c>
      <c r="DR3" s="295" t="s">
        <v>879</v>
      </c>
      <c r="DS3" s="295" t="s">
        <v>883</v>
      </c>
      <c r="DT3" s="295" t="s">
        <v>887</v>
      </c>
      <c r="DU3" s="295" t="s">
        <v>891</v>
      </c>
      <c r="DV3" s="295" t="s">
        <v>895</v>
      </c>
      <c r="DW3" s="295" t="s">
        <v>899</v>
      </c>
      <c r="DX3" s="295" t="s">
        <v>903</v>
      </c>
      <c r="DY3" s="295" t="s">
        <v>907</v>
      </c>
      <c r="DZ3" s="296" t="s">
        <v>911</v>
      </c>
      <c r="EA3" s="298" t="s">
        <v>255</v>
      </c>
      <c r="EB3" s="295" t="s">
        <v>259</v>
      </c>
      <c r="EC3" s="295" t="s">
        <v>6753</v>
      </c>
      <c r="ED3" s="295" t="s">
        <v>267</v>
      </c>
      <c r="EE3" s="295" t="s">
        <v>271</v>
      </c>
      <c r="EF3" s="295" t="s">
        <v>275</v>
      </c>
      <c r="EG3" s="295" t="s">
        <v>6754</v>
      </c>
      <c r="EH3" s="295" t="s">
        <v>283</v>
      </c>
      <c r="EI3" s="295" t="s">
        <v>287</v>
      </c>
      <c r="EJ3" s="295" t="s">
        <v>291</v>
      </c>
      <c r="EK3" s="295" t="s">
        <v>295</v>
      </c>
      <c r="EL3" s="295" t="s">
        <v>299</v>
      </c>
      <c r="EM3" s="297" t="s">
        <v>303</v>
      </c>
      <c r="EN3" s="298" t="s">
        <v>923</v>
      </c>
      <c r="EO3" s="295" t="s">
        <v>927</v>
      </c>
      <c r="EP3" s="295" t="s">
        <v>931</v>
      </c>
      <c r="EQ3" s="295" t="s">
        <v>935</v>
      </c>
      <c r="ER3" s="295" t="s">
        <v>939</v>
      </c>
      <c r="ES3" s="295" t="s">
        <v>943</v>
      </c>
      <c r="ET3" s="295" t="s">
        <v>947</v>
      </c>
      <c r="EU3" s="295" t="s">
        <v>951</v>
      </c>
      <c r="EV3" s="295" t="s">
        <v>954</v>
      </c>
      <c r="EW3" s="295" t="s">
        <v>958</v>
      </c>
      <c r="EX3" s="295" t="s">
        <v>961</v>
      </c>
      <c r="EY3" s="295" t="s">
        <v>965</v>
      </c>
      <c r="EZ3" s="295" t="s">
        <v>969</v>
      </c>
      <c r="FA3" s="295" t="s">
        <v>973</v>
      </c>
      <c r="FB3" s="295" t="s">
        <v>977</v>
      </c>
      <c r="FC3" s="295" t="s">
        <v>981</v>
      </c>
      <c r="FD3" s="295" t="s">
        <v>985</v>
      </c>
      <c r="FE3" s="295" t="s">
        <v>989</v>
      </c>
      <c r="FF3" s="295" t="s">
        <v>993</v>
      </c>
      <c r="FG3" s="295" t="s">
        <v>997</v>
      </c>
      <c r="FH3" s="297" t="s">
        <v>1001</v>
      </c>
      <c r="FI3" s="298" t="s">
        <v>1009</v>
      </c>
      <c r="FJ3" s="295" t="s">
        <v>1013</v>
      </c>
      <c r="FK3" s="295" t="s">
        <v>1017</v>
      </c>
      <c r="FL3" s="295" t="s">
        <v>1021</v>
      </c>
      <c r="FM3" s="295" t="s">
        <v>1025</v>
      </c>
      <c r="FN3" s="297" t="s">
        <v>1029</v>
      </c>
      <c r="FO3" s="298" t="s">
        <v>1036</v>
      </c>
      <c r="FP3" s="295" t="s">
        <v>1040</v>
      </c>
      <c r="FQ3" s="295" t="s">
        <v>1044</v>
      </c>
      <c r="FR3" s="295" t="s">
        <v>1048</v>
      </c>
      <c r="FS3" s="296" t="s">
        <v>1052</v>
      </c>
      <c r="FT3" s="298" t="s">
        <v>314</v>
      </c>
      <c r="FU3" s="295" t="s">
        <v>318</v>
      </c>
      <c r="FV3" s="297" t="s">
        <v>322</v>
      </c>
      <c r="FW3" s="299" t="s">
        <v>6755</v>
      </c>
      <c r="FX3" s="294" t="s">
        <v>330</v>
      </c>
      <c r="FY3" s="295" t="s">
        <v>6756</v>
      </c>
      <c r="FZ3" s="295" t="s">
        <v>338</v>
      </c>
      <c r="GA3" s="295" t="s">
        <v>342</v>
      </c>
      <c r="GB3" s="295" t="s">
        <v>346</v>
      </c>
      <c r="GC3" s="295" t="s">
        <v>350</v>
      </c>
      <c r="GD3" s="295" t="s">
        <v>354</v>
      </c>
      <c r="GE3" s="295" t="s">
        <v>358</v>
      </c>
      <c r="GF3" s="295" t="s">
        <v>362</v>
      </c>
      <c r="GG3" s="295" t="s">
        <v>366</v>
      </c>
      <c r="GH3" s="295" t="s">
        <v>369</v>
      </c>
      <c r="GI3" s="295" t="s">
        <v>373</v>
      </c>
      <c r="GJ3" s="295" t="s">
        <v>377</v>
      </c>
      <c r="GK3" s="297" t="s">
        <v>381</v>
      </c>
      <c r="GL3" s="298" t="s">
        <v>389</v>
      </c>
      <c r="GM3" s="295" t="s">
        <v>393</v>
      </c>
      <c r="GN3" s="295" t="s">
        <v>397</v>
      </c>
      <c r="GO3" s="295" t="s">
        <v>401</v>
      </c>
      <c r="GP3" s="295" t="s">
        <v>405</v>
      </c>
      <c r="GQ3" s="295" t="s">
        <v>409</v>
      </c>
      <c r="GR3" s="295" t="s">
        <v>413</v>
      </c>
      <c r="GS3" s="295" t="s">
        <v>416</v>
      </c>
      <c r="GT3" s="295" t="s">
        <v>420</v>
      </c>
      <c r="GU3" s="295" t="s">
        <v>424</v>
      </c>
      <c r="GV3" s="297" t="s">
        <v>428</v>
      </c>
      <c r="GW3" s="298" t="s">
        <v>436</v>
      </c>
      <c r="GX3" s="295" t="s">
        <v>440</v>
      </c>
      <c r="GY3" s="295" t="s">
        <v>6757</v>
      </c>
      <c r="GZ3" s="295" t="s">
        <v>448</v>
      </c>
      <c r="HA3" s="295" t="s">
        <v>452</v>
      </c>
      <c r="HB3" s="297" t="s">
        <v>456</v>
      </c>
      <c r="HC3" s="298" t="s">
        <v>464</v>
      </c>
      <c r="HD3" s="295" t="s">
        <v>468</v>
      </c>
      <c r="HE3" s="295" t="s">
        <v>472</v>
      </c>
      <c r="HF3" s="295" t="s">
        <v>476</v>
      </c>
      <c r="HG3" s="295" t="s">
        <v>480</v>
      </c>
      <c r="HH3" s="295" t="s">
        <v>484</v>
      </c>
      <c r="HI3" s="297" t="s">
        <v>488</v>
      </c>
      <c r="HJ3" s="298" t="s">
        <v>496</v>
      </c>
      <c r="HK3" s="295" t="s">
        <v>500</v>
      </c>
      <c r="HL3" s="295" t="s">
        <v>504</v>
      </c>
      <c r="HM3" s="297" t="s">
        <v>508</v>
      </c>
      <c r="HN3" s="298" t="s">
        <v>516</v>
      </c>
      <c r="HO3" s="295" t="s">
        <v>520</v>
      </c>
      <c r="HP3" s="295" t="s">
        <v>524</v>
      </c>
      <c r="HQ3" s="295" t="s">
        <v>528</v>
      </c>
      <c r="HR3" s="295" t="s">
        <v>532</v>
      </c>
      <c r="HS3" s="296" t="s">
        <v>536</v>
      </c>
      <c r="HT3" s="294" t="s">
        <v>544</v>
      </c>
      <c r="HU3" s="295" t="s">
        <v>548</v>
      </c>
      <c r="HV3" s="295" t="s">
        <v>552</v>
      </c>
      <c r="HW3" s="295" t="s">
        <v>556</v>
      </c>
      <c r="HX3" s="295" t="s">
        <v>560</v>
      </c>
      <c r="HY3" s="295" t="s">
        <v>564</v>
      </c>
      <c r="HZ3" s="295" t="s">
        <v>568</v>
      </c>
      <c r="IA3" s="296" t="s">
        <v>572</v>
      </c>
      <c r="IB3" s="294" t="s">
        <v>580</v>
      </c>
      <c r="IC3" s="295" t="s">
        <v>584</v>
      </c>
      <c r="ID3" s="295" t="s">
        <v>588</v>
      </c>
      <c r="IE3" s="295" t="s">
        <v>592</v>
      </c>
      <c r="IF3" s="296" t="s">
        <v>596</v>
      </c>
      <c r="IG3" s="294" t="s">
        <v>604</v>
      </c>
      <c r="IH3" s="295" t="s">
        <v>608</v>
      </c>
      <c r="II3" s="295" t="s">
        <v>612</v>
      </c>
      <c r="IJ3" s="295" t="s">
        <v>616</v>
      </c>
      <c r="IK3" s="296" t="s">
        <v>620</v>
      </c>
      <c r="IL3" s="298" t="s">
        <v>628</v>
      </c>
      <c r="IM3" s="295" t="s">
        <v>632</v>
      </c>
      <c r="IN3" s="295" t="s">
        <v>636</v>
      </c>
      <c r="IO3" s="296" t="s">
        <v>640</v>
      </c>
      <c r="IP3" s="294" t="s">
        <v>648</v>
      </c>
      <c r="IQ3" s="295" t="s">
        <v>652</v>
      </c>
      <c r="IR3" s="295" t="s">
        <v>656</v>
      </c>
      <c r="IS3" s="295" t="s">
        <v>660</v>
      </c>
      <c r="IT3" s="295" t="s">
        <v>664</v>
      </c>
      <c r="IU3" s="295" t="s">
        <v>668</v>
      </c>
      <c r="IV3" s="295" t="s">
        <v>672</v>
      </c>
      <c r="IW3" s="295" t="s">
        <v>676</v>
      </c>
      <c r="IX3" s="295" t="s">
        <v>680</v>
      </c>
      <c r="IY3" s="295" t="s">
        <v>684</v>
      </c>
      <c r="IZ3" s="295" t="s">
        <v>688</v>
      </c>
      <c r="JA3" s="295" t="s">
        <v>692</v>
      </c>
      <c r="JB3" s="295" t="s">
        <v>696</v>
      </c>
      <c r="JC3" s="295" t="s">
        <v>700</v>
      </c>
      <c r="JD3" s="296" t="s">
        <v>704</v>
      </c>
      <c r="JE3" s="294" t="s">
        <v>712</v>
      </c>
      <c r="JF3" s="295" t="s">
        <v>716</v>
      </c>
      <c r="JG3" s="295" t="s">
        <v>720</v>
      </c>
      <c r="JH3" s="295" t="s">
        <v>724</v>
      </c>
      <c r="JI3" s="295" t="s">
        <v>728</v>
      </c>
      <c r="JJ3" s="296" t="s">
        <v>732</v>
      </c>
      <c r="JK3" s="294" t="s">
        <v>740</v>
      </c>
      <c r="JL3" s="295" t="s">
        <v>744</v>
      </c>
      <c r="JM3" s="295" t="s">
        <v>748</v>
      </c>
      <c r="JN3" s="295" t="s">
        <v>752</v>
      </c>
      <c r="JO3" s="295" t="s">
        <v>756</v>
      </c>
      <c r="JP3" s="295" t="s">
        <v>760</v>
      </c>
      <c r="JQ3" s="295" t="s">
        <v>764</v>
      </c>
      <c r="JR3" s="295" t="s">
        <v>768</v>
      </c>
      <c r="JS3" s="295" t="s">
        <v>772</v>
      </c>
      <c r="JT3" s="296" t="s">
        <v>776</v>
      </c>
      <c r="JU3" s="294" t="s">
        <v>784</v>
      </c>
      <c r="JV3" s="295" t="s">
        <v>788</v>
      </c>
      <c r="JW3" s="296" t="s">
        <v>792</v>
      </c>
      <c r="JX3" s="294" t="s">
        <v>797</v>
      </c>
      <c r="JY3" s="295" t="s">
        <v>801</v>
      </c>
      <c r="JZ3" s="295" t="s">
        <v>805</v>
      </c>
      <c r="KA3" s="297" t="s">
        <v>809</v>
      </c>
      <c r="KB3" s="291" t="s">
        <v>1117</v>
      </c>
      <c r="KC3" s="289" t="s">
        <v>993</v>
      </c>
      <c r="KD3" s="289" t="s">
        <v>993</v>
      </c>
      <c r="KE3" s="289" t="s">
        <v>2188</v>
      </c>
      <c r="KF3" s="289" t="s">
        <v>2192</v>
      </c>
      <c r="KG3" s="289" t="s">
        <v>2302</v>
      </c>
      <c r="KH3" s="289" t="s">
        <v>2306</v>
      </c>
      <c r="KI3" s="289" t="s">
        <v>2310</v>
      </c>
      <c r="KJ3" s="289" t="s">
        <v>2714</v>
      </c>
      <c r="KK3" s="289" t="s">
        <v>2718</v>
      </c>
      <c r="KL3" s="289" t="s">
        <v>3374</v>
      </c>
      <c r="KM3" s="289" t="s">
        <v>3390</v>
      </c>
      <c r="KN3" s="289" t="s">
        <v>3418</v>
      </c>
      <c r="KO3" s="289" t="s">
        <v>3426</v>
      </c>
      <c r="KP3" s="289" t="s">
        <v>3454</v>
      </c>
      <c r="KQ3" s="289" t="s">
        <v>3462</v>
      </c>
      <c r="KR3" s="289" t="s">
        <v>3484</v>
      </c>
      <c r="KS3" s="289" t="s">
        <v>3528</v>
      </c>
      <c r="KT3" s="289" t="s">
        <v>3532</v>
      </c>
      <c r="KU3" s="289" t="s">
        <v>3556</v>
      </c>
      <c r="KV3" s="289" t="s">
        <v>3715</v>
      </c>
      <c r="KW3" s="289" t="s">
        <v>3719</v>
      </c>
      <c r="KX3" s="289" t="s">
        <v>3723</v>
      </c>
      <c r="KY3" s="289" t="s">
        <v>3735</v>
      </c>
      <c r="KZ3" s="289" t="s">
        <v>3723</v>
      </c>
      <c r="LA3" s="289" t="s">
        <v>3723</v>
      </c>
      <c r="LB3" s="289" t="s">
        <v>4071</v>
      </c>
      <c r="LC3" s="289" t="s">
        <v>6758</v>
      </c>
      <c r="LD3" s="289" t="s">
        <v>3951</v>
      </c>
      <c r="LE3" s="289" t="s">
        <v>3975</v>
      </c>
      <c r="LF3" s="289" t="s">
        <v>4099</v>
      </c>
      <c r="LG3" s="289" t="s">
        <v>4221</v>
      </c>
      <c r="LH3" s="289" t="s">
        <v>4390</v>
      </c>
      <c r="LI3" s="289" t="s">
        <v>4429</v>
      </c>
      <c r="LJ3" s="289" t="s">
        <v>6759</v>
      </c>
      <c r="LK3" s="289" t="s">
        <v>6760</v>
      </c>
      <c r="LL3" s="289" t="s">
        <v>6761</v>
      </c>
      <c r="LM3" s="289" t="s">
        <v>6762</v>
      </c>
      <c r="LN3" s="289" t="s">
        <v>4509</v>
      </c>
      <c r="LO3" s="289" t="s">
        <v>4513</v>
      </c>
      <c r="LP3" s="289" t="s">
        <v>4516</v>
      </c>
      <c r="LQ3" s="289" t="s">
        <v>4520</v>
      </c>
      <c r="LR3" s="289" t="s">
        <v>6763</v>
      </c>
      <c r="LS3" s="289" t="s">
        <v>4643</v>
      </c>
      <c r="LT3" s="289" t="s">
        <v>6764</v>
      </c>
      <c r="LU3" s="289" t="s">
        <v>6765</v>
      </c>
      <c r="LV3" s="289" t="s">
        <v>4710</v>
      </c>
      <c r="LW3" s="289" t="s">
        <v>231</v>
      </c>
      <c r="LX3" s="289" t="s">
        <v>4770</v>
      </c>
      <c r="LY3" s="289" t="s">
        <v>4773</v>
      </c>
      <c r="LZ3" s="289" t="s">
        <v>4777</v>
      </c>
      <c r="MA3" s="289" t="s">
        <v>4859</v>
      </c>
      <c r="MB3" s="289" t="s">
        <v>4863</v>
      </c>
      <c r="MC3" s="289" t="s">
        <v>6766</v>
      </c>
      <c r="MD3" s="289" t="s">
        <v>4875</v>
      </c>
      <c r="ME3" s="289" t="s">
        <v>6767</v>
      </c>
      <c r="MF3" s="289" t="s">
        <v>4945</v>
      </c>
      <c r="MG3" s="289" t="s">
        <v>4948</v>
      </c>
      <c r="MH3" s="289" t="s">
        <v>4951</v>
      </c>
      <c r="MI3" s="289" t="s">
        <v>4954</v>
      </c>
      <c r="MJ3" s="289" t="s">
        <v>4957</v>
      </c>
      <c r="MK3" s="289" t="s">
        <v>4959</v>
      </c>
      <c r="ML3" s="289" t="s">
        <v>4962</v>
      </c>
      <c r="MM3" s="289" t="s">
        <v>4964</v>
      </c>
      <c r="MN3" s="289" t="s">
        <v>4966</v>
      </c>
      <c r="MO3" s="289" t="s">
        <v>4968</v>
      </c>
      <c r="MP3" s="289" t="s">
        <v>6768</v>
      </c>
      <c r="MQ3" s="289" t="s">
        <v>5012</v>
      </c>
      <c r="MR3" s="289" t="s">
        <v>6762</v>
      </c>
      <c r="MS3" s="289" t="s">
        <v>4509</v>
      </c>
      <c r="MT3" s="289" t="s">
        <v>4513</v>
      </c>
      <c r="MU3" s="289" t="s">
        <v>5030</v>
      </c>
      <c r="MV3" s="289" t="s">
        <v>5033</v>
      </c>
      <c r="MW3" s="289" t="s">
        <v>5037</v>
      </c>
      <c r="MX3" s="289" t="s">
        <v>5040</v>
      </c>
      <c r="MY3" s="289" t="s">
        <v>5044</v>
      </c>
      <c r="MZ3" s="289" t="s">
        <v>5174</v>
      </c>
      <c r="NA3" s="289" t="s">
        <v>5207</v>
      </c>
      <c r="NB3" s="289" t="s">
        <v>5211</v>
      </c>
      <c r="NC3" s="289" t="s">
        <v>5215</v>
      </c>
      <c r="ND3" s="289" t="s">
        <v>5219</v>
      </c>
      <c r="NE3" s="289" t="s">
        <v>5223</v>
      </c>
      <c r="NF3" s="289" t="s">
        <v>5227</v>
      </c>
      <c r="NG3" s="289" t="s">
        <v>5231</v>
      </c>
      <c r="NH3" s="289" t="s">
        <v>5235</v>
      </c>
      <c r="NI3" s="289" t="s">
        <v>5239</v>
      </c>
      <c r="NJ3" s="289" t="s">
        <v>5251</v>
      </c>
      <c r="NK3" s="289" t="s">
        <v>5263</v>
      </c>
      <c r="NL3" s="289" t="s">
        <v>5267</v>
      </c>
      <c r="NM3" s="289" t="s">
        <v>6769</v>
      </c>
      <c r="NN3" s="289" t="s">
        <v>6770</v>
      </c>
      <c r="NO3" s="289" t="s">
        <v>5279</v>
      </c>
      <c r="NP3" s="289" t="s">
        <v>5283</v>
      </c>
      <c r="NQ3" s="289" t="s">
        <v>5292</v>
      </c>
      <c r="NR3" s="289" t="s">
        <v>5300</v>
      </c>
      <c r="NS3" s="289" t="s">
        <v>5304</v>
      </c>
      <c r="NT3" s="289" t="s">
        <v>5308</v>
      </c>
      <c r="NU3" s="289" t="s">
        <v>5312</v>
      </c>
      <c r="NV3" s="289" t="s">
        <v>5316</v>
      </c>
      <c r="NW3" s="289" t="s">
        <v>5320</v>
      </c>
      <c r="NX3" s="290" t="s">
        <v>5338</v>
      </c>
      <c r="NY3" s="291" t="s">
        <v>2598</v>
      </c>
      <c r="NZ3" s="289" t="s">
        <v>6771</v>
      </c>
      <c r="OA3" s="289" t="s">
        <v>2706</v>
      </c>
      <c r="OB3" s="289" t="s">
        <v>2800</v>
      </c>
      <c r="OC3" s="289" t="s">
        <v>3832</v>
      </c>
      <c r="OD3" s="289" t="s">
        <v>6772</v>
      </c>
      <c r="OE3" s="289" t="s">
        <v>6773</v>
      </c>
      <c r="OF3" s="289" t="s">
        <v>6774</v>
      </c>
      <c r="OG3" s="289" t="s">
        <v>4474</v>
      </c>
      <c r="OH3" s="290" t="s">
        <v>6775</v>
      </c>
      <c r="OI3" s="291" t="s">
        <v>1672</v>
      </c>
      <c r="OJ3" s="305" t="s">
        <v>1684</v>
      </c>
      <c r="OK3" s="289" t="s">
        <v>1913</v>
      </c>
      <c r="OL3" s="289" t="s">
        <v>1959</v>
      </c>
      <c r="OM3" s="289" t="s">
        <v>2017</v>
      </c>
      <c r="ON3" s="289" t="s">
        <v>2248</v>
      </c>
      <c r="OO3" s="289" t="s">
        <v>2286</v>
      </c>
      <c r="OP3" s="289" t="s">
        <v>2290</v>
      </c>
      <c r="OQ3" s="289" t="s">
        <v>2294</v>
      </c>
      <c r="OR3" s="289" t="s">
        <v>2298</v>
      </c>
      <c r="OS3" s="289" t="s">
        <v>2489</v>
      </c>
      <c r="OT3" s="289" t="s">
        <v>2493</v>
      </c>
      <c r="OU3" s="289" t="s">
        <v>2653</v>
      </c>
      <c r="OV3" s="289" t="s">
        <v>6776</v>
      </c>
      <c r="OW3" s="289" t="s">
        <v>6777</v>
      </c>
      <c r="OX3" s="289" t="s">
        <v>2775</v>
      </c>
      <c r="OY3" s="289" t="s">
        <v>4466</v>
      </c>
      <c r="OZ3" s="289" t="s">
        <v>6778</v>
      </c>
      <c r="PA3" s="289" t="s">
        <v>5154</v>
      </c>
      <c r="PB3" s="289" t="s">
        <v>5178</v>
      </c>
      <c r="PC3" s="289" t="s">
        <v>6779</v>
      </c>
      <c r="PD3" s="289" t="s">
        <v>5186</v>
      </c>
      <c r="PE3" s="289" t="s">
        <v>6780</v>
      </c>
      <c r="PF3" s="290" t="s">
        <v>5194</v>
      </c>
      <c r="PG3" s="291" t="s">
        <v>1719</v>
      </c>
      <c r="PH3" s="289" t="s">
        <v>1867</v>
      </c>
      <c r="PI3" s="289" t="s">
        <v>1871</v>
      </c>
      <c r="PJ3" s="289" t="s">
        <v>1887</v>
      </c>
      <c r="PK3" s="289" t="s">
        <v>1891</v>
      </c>
      <c r="PL3" s="289" t="s">
        <v>1895</v>
      </c>
      <c r="PM3" s="289" t="s">
        <v>1871</v>
      </c>
      <c r="PN3" s="289" t="s">
        <v>1887</v>
      </c>
      <c r="PO3" s="289" t="s">
        <v>1891</v>
      </c>
      <c r="PP3" s="289" t="s">
        <v>6781</v>
      </c>
      <c r="PQ3" s="289" t="s">
        <v>1871</v>
      </c>
      <c r="PR3" s="289" t="s">
        <v>1887</v>
      </c>
      <c r="PS3" s="289" t="s">
        <v>1891</v>
      </c>
      <c r="PT3" s="289" t="s">
        <v>1905</v>
      </c>
      <c r="PU3" s="289" t="s">
        <v>1871</v>
      </c>
      <c r="PV3" s="289" t="s">
        <v>1887</v>
      </c>
      <c r="PW3" s="289" t="s">
        <v>1891</v>
      </c>
      <c r="PX3" s="289" t="s">
        <v>1909</v>
      </c>
      <c r="PY3" s="289" t="s">
        <v>1871</v>
      </c>
      <c r="PZ3" s="289" t="s">
        <v>1887</v>
      </c>
      <c r="QA3" s="290" t="s">
        <v>1891</v>
      </c>
      <c r="QB3" s="291" t="s">
        <v>2033</v>
      </c>
      <c r="QC3" s="289" t="s">
        <v>2037</v>
      </c>
      <c r="QD3" s="289" t="s">
        <v>2041</v>
      </c>
      <c r="QE3" s="289" t="s">
        <v>2045</v>
      </c>
      <c r="QF3" s="289" t="s">
        <v>2049</v>
      </c>
      <c r="QG3" s="289" t="s">
        <v>6782</v>
      </c>
      <c r="QH3" s="289" t="s">
        <v>2057</v>
      </c>
      <c r="QI3" s="289" t="s">
        <v>2061</v>
      </c>
      <c r="QJ3" s="289" t="s">
        <v>2069</v>
      </c>
      <c r="QK3" s="289" t="s">
        <v>2073</v>
      </c>
      <c r="QL3" s="289" t="s">
        <v>6783</v>
      </c>
      <c r="QM3" s="289" t="s">
        <v>2081</v>
      </c>
      <c r="QN3" s="289" t="s">
        <v>2085</v>
      </c>
      <c r="QO3" s="289" t="s">
        <v>2089</v>
      </c>
      <c r="QP3" s="289" t="s">
        <v>2093</v>
      </c>
      <c r="QQ3" s="289" t="s">
        <v>2097</v>
      </c>
      <c r="QR3" s="289" t="s">
        <v>2109</v>
      </c>
      <c r="QS3" s="289" t="s">
        <v>2113</v>
      </c>
      <c r="QT3" s="289" t="s">
        <v>2117</v>
      </c>
      <c r="QU3" s="289" t="s">
        <v>6784</v>
      </c>
      <c r="QV3" s="289" t="s">
        <v>6785</v>
      </c>
      <c r="QW3" s="289" t="s">
        <v>2129</v>
      </c>
      <c r="QX3" s="289" t="s">
        <v>2133</v>
      </c>
      <c r="QY3" s="289" t="s">
        <v>2137</v>
      </c>
      <c r="QZ3" s="289" t="s">
        <v>2141</v>
      </c>
      <c r="RA3" s="289" t="s">
        <v>2145</v>
      </c>
      <c r="RB3" s="289" t="s">
        <v>2152</v>
      </c>
      <c r="RC3" s="289" t="s">
        <v>2156</v>
      </c>
      <c r="RD3" s="289" t="s">
        <v>2160</v>
      </c>
      <c r="RE3" s="289" t="s">
        <v>2164</v>
      </c>
      <c r="RF3" s="289" t="s">
        <v>2168</v>
      </c>
      <c r="RG3" s="289" t="s">
        <v>6786</v>
      </c>
      <c r="RH3" s="289" t="s">
        <v>2176</v>
      </c>
      <c r="RI3" s="289" t="s">
        <v>2180</v>
      </c>
      <c r="RJ3" s="289" t="s">
        <v>2184</v>
      </c>
      <c r="RK3" s="289" t="s">
        <v>2188</v>
      </c>
      <c r="RL3" s="289" t="s">
        <v>2192</v>
      </c>
      <c r="RM3" s="289" t="s">
        <v>2202</v>
      </c>
      <c r="RN3" s="289" t="s">
        <v>2206</v>
      </c>
      <c r="RO3" s="289" t="s">
        <v>2210</v>
      </c>
      <c r="RP3" s="289" t="s">
        <v>2214</v>
      </c>
      <c r="RQ3" s="289" t="s">
        <v>2218</v>
      </c>
      <c r="RR3" s="289" t="s">
        <v>2224</v>
      </c>
      <c r="RS3" s="289" t="s">
        <v>2248</v>
      </c>
      <c r="RT3" s="290" t="s">
        <v>2256</v>
      </c>
      <c r="RU3" s="291" t="s">
        <v>2883</v>
      </c>
      <c r="RV3" s="289" t="s">
        <v>2934</v>
      </c>
      <c r="RW3" s="289" t="s">
        <v>6787</v>
      </c>
      <c r="RX3" s="289" t="s">
        <v>6788</v>
      </c>
      <c r="RY3" s="289" t="s">
        <v>6789</v>
      </c>
      <c r="RZ3" s="289" t="s">
        <v>6790</v>
      </c>
      <c r="SA3" s="289" t="s">
        <v>6791</v>
      </c>
      <c r="SB3" s="289" t="s">
        <v>2958</v>
      </c>
      <c r="SC3" s="289" t="s">
        <v>6792</v>
      </c>
      <c r="SD3" s="289" t="s">
        <v>2966</v>
      </c>
      <c r="SE3" s="289" t="s">
        <v>3018</v>
      </c>
      <c r="SF3" s="289" t="s">
        <v>3022</v>
      </c>
      <c r="SG3" s="290" t="s">
        <v>3036</v>
      </c>
      <c r="SH3" s="291" t="s">
        <v>3244</v>
      </c>
      <c r="SI3" s="290" t="s">
        <v>3260</v>
      </c>
      <c r="SJ3" s="293" t="s">
        <v>3739</v>
      </c>
      <c r="SK3" s="291" t="s">
        <v>6793</v>
      </c>
      <c r="SL3" s="289" t="s">
        <v>6793</v>
      </c>
      <c r="SM3" s="289" t="s">
        <v>3943</v>
      </c>
      <c r="SN3" s="289" t="s">
        <v>6793</v>
      </c>
      <c r="SO3" s="289" t="s">
        <v>6793</v>
      </c>
      <c r="SP3" s="289" t="s">
        <v>6793</v>
      </c>
      <c r="SQ3" s="289" t="s">
        <v>6793</v>
      </c>
      <c r="SR3" s="289" t="s">
        <v>6793</v>
      </c>
      <c r="SS3" s="289" t="s">
        <v>6793</v>
      </c>
      <c r="ST3" s="289" t="s">
        <v>6793</v>
      </c>
      <c r="SU3" s="289" t="s">
        <v>6793</v>
      </c>
      <c r="SV3" s="289" t="s">
        <v>6793</v>
      </c>
      <c r="SW3" s="289" t="s">
        <v>6793</v>
      </c>
      <c r="SX3" s="289" t="s">
        <v>6793</v>
      </c>
      <c r="SY3" s="289" t="s">
        <v>6793</v>
      </c>
      <c r="SZ3" s="289" t="s">
        <v>6793</v>
      </c>
      <c r="TA3" s="289" t="s">
        <v>6793</v>
      </c>
      <c r="TB3" s="289" t="s">
        <v>6793</v>
      </c>
      <c r="TC3" s="289" t="s">
        <v>6793</v>
      </c>
      <c r="TD3" s="289" t="s">
        <v>6793</v>
      </c>
      <c r="TE3" s="289" t="s">
        <v>6793</v>
      </c>
      <c r="TF3" s="289" t="s">
        <v>6793</v>
      </c>
      <c r="TG3" s="289" t="s">
        <v>6793</v>
      </c>
      <c r="TH3" s="289" t="s">
        <v>6793</v>
      </c>
      <c r="TI3" s="289" t="s">
        <v>6794</v>
      </c>
      <c r="TJ3" s="289" t="s">
        <v>6794</v>
      </c>
      <c r="TK3" s="289" t="s">
        <v>4105</v>
      </c>
      <c r="TL3" s="289" t="s">
        <v>6795</v>
      </c>
      <c r="TM3" s="289" t="s">
        <v>6796</v>
      </c>
      <c r="TN3" s="289" t="s">
        <v>6797</v>
      </c>
      <c r="TO3" s="289" t="s">
        <v>6798</v>
      </c>
      <c r="TP3" s="289" t="s">
        <v>6799</v>
      </c>
      <c r="TQ3" s="289" t="s">
        <v>6800</v>
      </c>
      <c r="TR3" s="289" t="s">
        <v>6801</v>
      </c>
      <c r="TS3" s="290" t="s">
        <v>6802</v>
      </c>
      <c r="TT3" s="306" t="s">
        <v>4183</v>
      </c>
      <c r="TU3" s="305" t="s">
        <v>4187</v>
      </c>
      <c r="TV3" s="289" t="s">
        <v>6803</v>
      </c>
      <c r="TW3" s="289" t="s">
        <v>4291</v>
      </c>
      <c r="TX3" s="289" t="s">
        <v>4382</v>
      </c>
      <c r="TY3" s="289" t="s">
        <v>4409</v>
      </c>
      <c r="TZ3" s="289" t="s">
        <v>4421</v>
      </c>
      <c r="UA3" s="289" t="s">
        <v>4425</v>
      </c>
      <c r="UB3" s="289" t="s">
        <v>4437</v>
      </c>
      <c r="UC3" s="289" t="s">
        <v>4450</v>
      </c>
      <c r="UD3" s="289" t="s">
        <v>4454</v>
      </c>
      <c r="UE3" s="289" t="s">
        <v>4458</v>
      </c>
      <c r="UF3" s="290" t="s">
        <v>6804</v>
      </c>
      <c r="UG3" s="291" t="s">
        <v>4651</v>
      </c>
      <c r="UH3" s="289" t="s">
        <v>6805</v>
      </c>
      <c r="UI3" s="289" t="s">
        <v>4675</v>
      </c>
      <c r="UJ3" s="289" t="s">
        <v>6806</v>
      </c>
      <c r="UK3" s="289" t="s">
        <v>4698</v>
      </c>
      <c r="UL3" s="289" t="s">
        <v>4714</v>
      </c>
      <c r="UM3" s="289" t="s">
        <v>4718</v>
      </c>
      <c r="UN3" s="289" t="s">
        <v>6807</v>
      </c>
      <c r="UO3" s="289" t="s">
        <v>4726</v>
      </c>
      <c r="UP3" s="289" t="s">
        <v>4730</v>
      </c>
      <c r="UQ3" s="289" t="s">
        <v>6808</v>
      </c>
      <c r="UR3" s="289" t="s">
        <v>4738</v>
      </c>
      <c r="US3" s="289" t="s">
        <v>4742</v>
      </c>
      <c r="UT3" s="289" t="s">
        <v>4781</v>
      </c>
      <c r="UU3" s="289" t="s">
        <v>6809</v>
      </c>
      <c r="UV3" s="289" t="s">
        <v>4785</v>
      </c>
      <c r="UW3" s="289" t="s">
        <v>4791</v>
      </c>
      <c r="UX3" s="289" t="s">
        <v>6810</v>
      </c>
      <c r="UY3" s="289" t="s">
        <v>4815</v>
      </c>
      <c r="UZ3" s="289" t="s">
        <v>4819</v>
      </c>
      <c r="VA3" s="289" t="s">
        <v>6811</v>
      </c>
      <c r="VB3" s="289" t="s">
        <v>6812</v>
      </c>
      <c r="VC3" s="289" t="s">
        <v>6813</v>
      </c>
      <c r="VD3" s="289" t="s">
        <v>4937</v>
      </c>
      <c r="VE3" s="289" t="s">
        <v>4945</v>
      </c>
      <c r="VF3" s="289" t="s">
        <v>4974</v>
      </c>
      <c r="VG3" s="289" t="s">
        <v>6814</v>
      </c>
      <c r="VH3" s="289" t="s">
        <v>6815</v>
      </c>
      <c r="VI3" s="289" t="s">
        <v>6816</v>
      </c>
      <c r="VJ3" s="289" t="s">
        <v>6817</v>
      </c>
      <c r="VK3" s="289" t="s">
        <v>6818</v>
      </c>
      <c r="VL3" s="289" t="s">
        <v>5004</v>
      </c>
      <c r="VM3" s="290" t="s">
        <v>6819</v>
      </c>
      <c r="VN3" s="291" t="s">
        <v>5082</v>
      </c>
      <c r="VO3" s="292" t="s">
        <v>5166</v>
      </c>
    </row>
    <row r="4" spans="1:587">
      <c r="A4" s="1" t="s">
        <v>5542</v>
      </c>
      <c r="B4" s="203">
        <v>1</v>
      </c>
      <c r="C4" s="203">
        <v>2</v>
      </c>
      <c r="D4" s="203">
        <v>3</v>
      </c>
      <c r="E4" s="203">
        <v>4</v>
      </c>
      <c r="F4" s="203">
        <v>5</v>
      </c>
      <c r="G4" s="203">
        <v>6</v>
      </c>
      <c r="H4" s="203">
        <v>7</v>
      </c>
      <c r="I4" s="203">
        <v>8</v>
      </c>
      <c r="J4" s="203">
        <v>9</v>
      </c>
      <c r="K4" s="203">
        <v>10</v>
      </c>
      <c r="L4" s="203">
        <v>11</v>
      </c>
      <c r="M4" s="203">
        <v>12</v>
      </c>
      <c r="N4" s="203">
        <v>13</v>
      </c>
      <c r="O4" s="203">
        <v>14</v>
      </c>
      <c r="P4" s="203">
        <v>15</v>
      </c>
      <c r="Q4" s="203">
        <v>16</v>
      </c>
      <c r="R4" s="203">
        <v>17</v>
      </c>
      <c r="S4" s="203">
        <v>18</v>
      </c>
      <c r="T4" s="203">
        <v>19</v>
      </c>
      <c r="U4" s="203">
        <v>20</v>
      </c>
      <c r="V4" s="203">
        <v>21</v>
      </c>
      <c r="W4" s="203">
        <v>22</v>
      </c>
      <c r="X4" s="203">
        <v>23</v>
      </c>
      <c r="Y4" s="203">
        <v>24</v>
      </c>
      <c r="Z4" s="203">
        <v>25</v>
      </c>
      <c r="AA4" s="203">
        <v>26</v>
      </c>
      <c r="AB4" s="203">
        <v>27</v>
      </c>
      <c r="AC4" s="203">
        <v>28</v>
      </c>
      <c r="AD4" s="203">
        <v>29</v>
      </c>
      <c r="AE4" s="203">
        <v>30</v>
      </c>
      <c r="AF4" s="203">
        <v>31</v>
      </c>
      <c r="AG4" s="203">
        <v>32</v>
      </c>
      <c r="AH4" s="203">
        <v>33</v>
      </c>
      <c r="AI4" s="203">
        <v>34</v>
      </c>
      <c r="AJ4" s="203">
        <v>35</v>
      </c>
      <c r="AK4" s="203">
        <v>36</v>
      </c>
      <c r="AL4" s="203">
        <v>37</v>
      </c>
      <c r="AM4" s="203">
        <v>38</v>
      </c>
      <c r="AN4" s="203">
        <v>39</v>
      </c>
      <c r="AO4" s="203">
        <v>40</v>
      </c>
      <c r="AP4" s="203">
        <v>41</v>
      </c>
      <c r="AQ4" s="203">
        <v>42</v>
      </c>
      <c r="AR4" s="203">
        <v>43</v>
      </c>
      <c r="AS4" s="203">
        <v>44</v>
      </c>
      <c r="AT4" s="203">
        <v>45</v>
      </c>
      <c r="AU4" s="203">
        <v>46</v>
      </c>
      <c r="AV4" s="203">
        <v>47</v>
      </c>
      <c r="AW4" s="203">
        <v>48</v>
      </c>
      <c r="AX4" s="203">
        <v>49</v>
      </c>
      <c r="AY4" s="203">
        <v>50</v>
      </c>
      <c r="AZ4" s="203">
        <v>51</v>
      </c>
      <c r="BA4" s="203">
        <v>52</v>
      </c>
      <c r="BB4" s="203">
        <v>53</v>
      </c>
      <c r="BC4" s="203">
        <v>54</v>
      </c>
      <c r="BD4" s="203">
        <v>55</v>
      </c>
      <c r="BE4" s="203">
        <v>56</v>
      </c>
      <c r="BF4" s="203">
        <v>57</v>
      </c>
      <c r="BG4" s="203">
        <v>58</v>
      </c>
      <c r="BH4" s="203">
        <v>59</v>
      </c>
      <c r="BI4" s="203">
        <v>60</v>
      </c>
      <c r="BJ4" s="203">
        <v>61</v>
      </c>
      <c r="BK4" s="203">
        <v>62</v>
      </c>
      <c r="BL4" s="203">
        <v>63</v>
      </c>
      <c r="BM4" s="203">
        <v>64</v>
      </c>
      <c r="BN4" s="203">
        <v>65</v>
      </c>
      <c r="BO4" s="203">
        <v>66</v>
      </c>
      <c r="BP4" s="203">
        <v>67</v>
      </c>
      <c r="BQ4" s="203">
        <v>68</v>
      </c>
      <c r="BR4" s="203">
        <v>69</v>
      </c>
      <c r="BS4" s="203">
        <v>70</v>
      </c>
      <c r="BT4" s="203">
        <v>71</v>
      </c>
      <c r="BU4" s="203">
        <v>72</v>
      </c>
      <c r="BV4" s="203">
        <v>73</v>
      </c>
      <c r="BW4" s="203">
        <v>74</v>
      </c>
      <c r="BX4" s="203">
        <v>75</v>
      </c>
      <c r="BY4" s="203">
        <v>76</v>
      </c>
      <c r="BZ4" s="203">
        <v>77</v>
      </c>
      <c r="CA4" s="203">
        <v>78</v>
      </c>
      <c r="CB4" s="203">
        <v>79</v>
      </c>
      <c r="CC4" s="203">
        <v>80</v>
      </c>
      <c r="CD4" s="203">
        <v>81</v>
      </c>
      <c r="CE4" s="203">
        <v>82</v>
      </c>
      <c r="CF4" s="203">
        <v>83</v>
      </c>
      <c r="CG4" s="203">
        <v>84</v>
      </c>
      <c r="CH4" s="203">
        <v>85</v>
      </c>
      <c r="CI4" s="203">
        <v>86</v>
      </c>
      <c r="CJ4" s="203">
        <v>87</v>
      </c>
      <c r="CK4" s="203">
        <v>88</v>
      </c>
      <c r="CL4" s="203">
        <v>89</v>
      </c>
      <c r="CM4" s="203">
        <v>90</v>
      </c>
      <c r="CN4" s="203">
        <v>91</v>
      </c>
      <c r="CO4" s="203">
        <v>92</v>
      </c>
      <c r="CP4" s="203">
        <v>93</v>
      </c>
      <c r="CQ4" s="203">
        <v>94</v>
      </c>
      <c r="CR4" s="203">
        <v>95</v>
      </c>
      <c r="CS4" s="203">
        <v>96</v>
      </c>
      <c r="CT4" s="203">
        <v>97</v>
      </c>
      <c r="CU4" s="203">
        <v>98</v>
      </c>
      <c r="CV4" s="203">
        <v>99</v>
      </c>
      <c r="CW4" s="203">
        <v>100</v>
      </c>
      <c r="CX4" s="203">
        <v>101</v>
      </c>
      <c r="CY4" s="203">
        <v>102</v>
      </c>
      <c r="CZ4" s="203">
        <v>103</v>
      </c>
      <c r="DA4" s="203">
        <v>104</v>
      </c>
      <c r="DB4" s="203">
        <v>105</v>
      </c>
      <c r="DC4" s="203">
        <v>106</v>
      </c>
      <c r="DD4" s="203">
        <v>107</v>
      </c>
      <c r="DE4" s="203">
        <v>108</v>
      </c>
      <c r="DF4" s="203">
        <v>109</v>
      </c>
      <c r="DG4" s="203">
        <v>110</v>
      </c>
      <c r="DH4" s="203">
        <v>111</v>
      </c>
      <c r="DI4" s="203">
        <v>112</v>
      </c>
      <c r="DJ4" s="203">
        <v>113</v>
      </c>
      <c r="DK4" s="203">
        <v>114</v>
      </c>
      <c r="DL4" s="203">
        <v>115</v>
      </c>
      <c r="DM4" s="203">
        <v>116</v>
      </c>
      <c r="DN4" s="203">
        <v>117</v>
      </c>
      <c r="DO4" s="203">
        <v>118</v>
      </c>
      <c r="DP4" s="203">
        <v>119</v>
      </c>
      <c r="DQ4" s="203">
        <v>120</v>
      </c>
      <c r="DR4" s="203">
        <v>121</v>
      </c>
      <c r="DS4" s="203">
        <v>122</v>
      </c>
      <c r="DT4" s="203">
        <v>123</v>
      </c>
      <c r="DU4" s="203">
        <v>124</v>
      </c>
      <c r="DV4" s="203">
        <v>125</v>
      </c>
      <c r="DW4" s="203">
        <v>126</v>
      </c>
      <c r="DX4" s="203">
        <v>127</v>
      </c>
      <c r="DY4" s="203">
        <v>128</v>
      </c>
      <c r="DZ4" s="203">
        <v>129</v>
      </c>
      <c r="EA4" s="203">
        <v>130</v>
      </c>
      <c r="EB4" s="203">
        <v>131</v>
      </c>
      <c r="EC4" s="203">
        <v>132</v>
      </c>
      <c r="ED4" s="203">
        <v>133</v>
      </c>
      <c r="EE4" s="203">
        <v>134</v>
      </c>
      <c r="EF4" s="203">
        <v>135</v>
      </c>
      <c r="EG4" s="203">
        <v>136</v>
      </c>
      <c r="EH4" s="203">
        <v>137</v>
      </c>
      <c r="EI4" s="203">
        <v>138</v>
      </c>
      <c r="EJ4" s="203">
        <v>139</v>
      </c>
      <c r="EK4" s="203">
        <v>140</v>
      </c>
      <c r="EL4" s="203">
        <v>141</v>
      </c>
      <c r="EM4" s="203">
        <v>142</v>
      </c>
      <c r="EN4" s="203">
        <v>143</v>
      </c>
      <c r="EO4" s="203">
        <v>144</v>
      </c>
      <c r="EP4" s="203">
        <v>145</v>
      </c>
      <c r="EQ4" s="203">
        <v>146</v>
      </c>
      <c r="ER4" s="203">
        <v>147</v>
      </c>
      <c r="ES4" s="203">
        <v>148</v>
      </c>
      <c r="ET4" s="203">
        <v>149</v>
      </c>
      <c r="EU4" s="203">
        <v>150</v>
      </c>
      <c r="EV4" s="203">
        <v>151</v>
      </c>
      <c r="EW4" s="203">
        <v>152</v>
      </c>
      <c r="EX4" s="203">
        <v>153</v>
      </c>
      <c r="EY4" s="203">
        <v>154</v>
      </c>
      <c r="EZ4" s="203">
        <v>155</v>
      </c>
      <c r="FA4" s="203">
        <v>156</v>
      </c>
      <c r="FB4" s="203">
        <v>157</v>
      </c>
      <c r="FC4" s="203">
        <v>158</v>
      </c>
      <c r="FD4" s="203">
        <v>159</v>
      </c>
      <c r="FE4" s="203">
        <v>160</v>
      </c>
      <c r="FF4" s="203">
        <v>161</v>
      </c>
      <c r="FG4" s="203">
        <v>162</v>
      </c>
      <c r="FH4" s="203">
        <v>163</v>
      </c>
      <c r="FI4" s="203">
        <v>164</v>
      </c>
      <c r="FJ4" s="203">
        <v>165</v>
      </c>
      <c r="FK4" s="203">
        <v>166</v>
      </c>
      <c r="FL4" s="203">
        <v>167</v>
      </c>
      <c r="FM4" s="203">
        <v>168</v>
      </c>
      <c r="FN4" s="203">
        <v>169</v>
      </c>
      <c r="FO4" s="203">
        <v>170</v>
      </c>
      <c r="FP4" s="203">
        <v>171</v>
      </c>
      <c r="FQ4" s="203">
        <v>172</v>
      </c>
      <c r="FR4" s="203">
        <v>173</v>
      </c>
      <c r="FS4" s="203">
        <v>174</v>
      </c>
      <c r="FT4" s="203">
        <v>175</v>
      </c>
      <c r="FU4" s="203">
        <v>176</v>
      </c>
      <c r="FV4" s="203">
        <v>177</v>
      </c>
      <c r="FW4" s="203">
        <v>178</v>
      </c>
      <c r="FX4" s="203">
        <v>179</v>
      </c>
      <c r="FY4" s="203">
        <v>180</v>
      </c>
      <c r="FZ4" s="203">
        <v>181</v>
      </c>
      <c r="GA4" s="203">
        <v>182</v>
      </c>
      <c r="GB4" s="203">
        <v>183</v>
      </c>
      <c r="GC4" s="203">
        <v>184</v>
      </c>
      <c r="GD4" s="203">
        <v>185</v>
      </c>
      <c r="GE4" s="203">
        <v>186</v>
      </c>
      <c r="GF4" s="203">
        <v>187</v>
      </c>
      <c r="GG4" s="203">
        <v>188</v>
      </c>
      <c r="GH4" s="203">
        <v>189</v>
      </c>
      <c r="GI4" s="203">
        <v>190</v>
      </c>
      <c r="GJ4" s="203">
        <v>191</v>
      </c>
      <c r="GK4" s="203">
        <v>192</v>
      </c>
      <c r="GL4" s="203">
        <v>193</v>
      </c>
      <c r="GM4" s="203">
        <v>194</v>
      </c>
      <c r="GN4" s="203">
        <v>195</v>
      </c>
      <c r="GO4" s="203">
        <v>196</v>
      </c>
      <c r="GP4" s="203">
        <v>197</v>
      </c>
      <c r="GQ4" s="203">
        <v>198</v>
      </c>
      <c r="GR4" s="203">
        <v>199</v>
      </c>
      <c r="GS4" s="203">
        <v>200</v>
      </c>
      <c r="GT4" s="203">
        <v>201</v>
      </c>
      <c r="GU4" s="203">
        <v>202</v>
      </c>
      <c r="GV4" s="203">
        <v>203</v>
      </c>
      <c r="GW4" s="203">
        <v>204</v>
      </c>
      <c r="GX4" s="203">
        <v>205</v>
      </c>
      <c r="GY4" s="203">
        <v>206</v>
      </c>
      <c r="GZ4" s="203">
        <v>207</v>
      </c>
      <c r="HA4" s="203">
        <v>208</v>
      </c>
      <c r="HB4" s="203">
        <v>209</v>
      </c>
      <c r="HC4" s="203">
        <v>210</v>
      </c>
      <c r="HD4" s="203">
        <v>211</v>
      </c>
      <c r="HE4" s="203">
        <v>212</v>
      </c>
      <c r="HF4" s="203">
        <v>213</v>
      </c>
      <c r="HG4" s="203">
        <v>214</v>
      </c>
      <c r="HH4" s="203">
        <v>215</v>
      </c>
      <c r="HI4" s="203">
        <v>216</v>
      </c>
      <c r="HJ4" s="203">
        <v>217</v>
      </c>
      <c r="HK4" s="203">
        <v>218</v>
      </c>
      <c r="HL4" s="203">
        <v>219</v>
      </c>
      <c r="HM4" s="203">
        <v>220</v>
      </c>
      <c r="HN4" s="203">
        <v>221</v>
      </c>
      <c r="HO4" s="203">
        <v>222</v>
      </c>
      <c r="HP4" s="203">
        <v>223</v>
      </c>
      <c r="HQ4" s="203">
        <v>224</v>
      </c>
      <c r="HR4" s="203">
        <v>225</v>
      </c>
      <c r="HS4" s="203">
        <v>226</v>
      </c>
      <c r="HT4" s="203">
        <v>227</v>
      </c>
      <c r="HU4" s="203">
        <v>228</v>
      </c>
      <c r="HV4" s="203">
        <v>229</v>
      </c>
      <c r="HW4" s="203">
        <v>230</v>
      </c>
      <c r="HX4" s="203">
        <v>231</v>
      </c>
      <c r="HY4" s="203">
        <v>232</v>
      </c>
      <c r="HZ4" s="203">
        <v>233</v>
      </c>
      <c r="IA4" s="203">
        <v>234</v>
      </c>
      <c r="IB4" s="203">
        <v>235</v>
      </c>
      <c r="IC4" s="203">
        <v>236</v>
      </c>
      <c r="ID4" s="203">
        <v>237</v>
      </c>
      <c r="IE4" s="203">
        <v>238</v>
      </c>
      <c r="IF4" s="203">
        <v>239</v>
      </c>
      <c r="IG4" s="203">
        <v>240</v>
      </c>
      <c r="IH4" s="203">
        <v>241</v>
      </c>
      <c r="II4" s="203">
        <v>242</v>
      </c>
      <c r="IJ4" s="203">
        <v>243</v>
      </c>
      <c r="IK4" s="203">
        <v>244</v>
      </c>
      <c r="IL4" s="203">
        <v>245</v>
      </c>
      <c r="IM4" s="203">
        <v>246</v>
      </c>
      <c r="IN4" s="203">
        <v>247</v>
      </c>
      <c r="IO4" s="203">
        <v>248</v>
      </c>
      <c r="IP4" s="203">
        <v>249</v>
      </c>
      <c r="IQ4" s="203">
        <v>250</v>
      </c>
      <c r="IR4" s="203">
        <v>251</v>
      </c>
      <c r="IS4" s="203">
        <v>252</v>
      </c>
      <c r="IT4" s="203">
        <v>253</v>
      </c>
      <c r="IU4" s="203">
        <v>254</v>
      </c>
      <c r="IV4" s="203">
        <v>255</v>
      </c>
      <c r="IW4" s="203">
        <v>256</v>
      </c>
      <c r="IX4" s="203">
        <v>257</v>
      </c>
      <c r="IY4" s="203">
        <v>258</v>
      </c>
      <c r="IZ4" s="203">
        <v>259</v>
      </c>
      <c r="JA4" s="203">
        <v>260</v>
      </c>
      <c r="JB4" s="203">
        <v>261</v>
      </c>
      <c r="JC4" s="203">
        <v>262</v>
      </c>
      <c r="JD4" s="203">
        <v>263</v>
      </c>
      <c r="JE4" s="203">
        <v>264</v>
      </c>
      <c r="JF4" s="203">
        <v>265</v>
      </c>
      <c r="JG4" s="203">
        <v>266</v>
      </c>
      <c r="JH4" s="203">
        <v>267</v>
      </c>
      <c r="JI4" s="203">
        <v>268</v>
      </c>
      <c r="JJ4" s="203">
        <v>269</v>
      </c>
      <c r="JK4" s="203">
        <v>270</v>
      </c>
      <c r="JL4" s="203">
        <v>271</v>
      </c>
      <c r="JM4" s="203">
        <v>272</v>
      </c>
      <c r="JN4" s="203">
        <v>273</v>
      </c>
      <c r="JO4" s="203">
        <v>274</v>
      </c>
      <c r="JP4" s="203">
        <v>275</v>
      </c>
      <c r="JQ4" s="203">
        <v>276</v>
      </c>
      <c r="JR4" s="203">
        <v>277</v>
      </c>
      <c r="JS4" s="203">
        <v>278</v>
      </c>
      <c r="JT4" s="203">
        <v>279</v>
      </c>
      <c r="JU4" s="203">
        <v>280</v>
      </c>
      <c r="JV4" s="203">
        <v>281</v>
      </c>
      <c r="JW4" s="203">
        <v>282</v>
      </c>
      <c r="JX4" s="203">
        <v>283</v>
      </c>
      <c r="JY4" s="203">
        <v>284</v>
      </c>
      <c r="JZ4" s="203">
        <v>285</v>
      </c>
      <c r="KA4" s="203">
        <v>286</v>
      </c>
      <c r="KB4" s="203">
        <v>287</v>
      </c>
      <c r="KC4" s="203">
        <v>288</v>
      </c>
      <c r="KD4" s="203">
        <v>289</v>
      </c>
      <c r="KE4" s="203">
        <v>290</v>
      </c>
      <c r="KF4" s="203">
        <v>291</v>
      </c>
      <c r="KG4" s="203">
        <v>292</v>
      </c>
      <c r="KH4" s="203">
        <v>293</v>
      </c>
      <c r="KI4" s="203">
        <v>294</v>
      </c>
      <c r="KJ4" s="203">
        <v>295</v>
      </c>
      <c r="KK4" s="203">
        <v>296</v>
      </c>
      <c r="KL4" s="203">
        <v>297</v>
      </c>
      <c r="KM4" s="203">
        <v>298</v>
      </c>
      <c r="KN4" s="203">
        <v>299</v>
      </c>
      <c r="KO4" s="203">
        <v>300</v>
      </c>
      <c r="KP4" s="203">
        <v>301</v>
      </c>
      <c r="KQ4" s="203">
        <v>302</v>
      </c>
      <c r="KR4" s="203">
        <v>303</v>
      </c>
      <c r="KS4" s="203">
        <v>304</v>
      </c>
      <c r="KT4" s="203">
        <v>305</v>
      </c>
      <c r="KU4" s="203">
        <v>306</v>
      </c>
      <c r="KV4" s="203">
        <v>307</v>
      </c>
      <c r="KW4" s="203">
        <v>308</v>
      </c>
      <c r="KX4" s="203">
        <v>309</v>
      </c>
      <c r="KY4" s="203">
        <v>310</v>
      </c>
      <c r="KZ4" s="203">
        <v>311</v>
      </c>
      <c r="LA4" s="203">
        <v>312</v>
      </c>
      <c r="LB4" s="203">
        <v>313</v>
      </c>
      <c r="LC4" s="203">
        <v>314</v>
      </c>
      <c r="LD4" s="203">
        <v>315</v>
      </c>
      <c r="LE4" s="203">
        <v>316</v>
      </c>
      <c r="LF4" s="203">
        <v>317</v>
      </c>
      <c r="LG4" s="203">
        <v>318</v>
      </c>
      <c r="LH4" s="203">
        <v>319</v>
      </c>
      <c r="LI4" s="203">
        <v>320</v>
      </c>
      <c r="LJ4" s="203">
        <v>321</v>
      </c>
      <c r="LK4" s="203">
        <v>322</v>
      </c>
      <c r="LL4" s="203">
        <v>323</v>
      </c>
      <c r="LM4" s="203">
        <v>324</v>
      </c>
      <c r="LN4" s="203">
        <v>325</v>
      </c>
      <c r="LO4" s="203">
        <v>326</v>
      </c>
      <c r="LP4" s="203">
        <v>327</v>
      </c>
      <c r="LQ4" s="203">
        <v>328</v>
      </c>
      <c r="LR4" s="203">
        <v>329</v>
      </c>
      <c r="LS4" s="203">
        <v>330</v>
      </c>
      <c r="LT4" s="203">
        <v>331</v>
      </c>
      <c r="LU4" s="203">
        <v>332</v>
      </c>
      <c r="LV4" s="203">
        <v>333</v>
      </c>
      <c r="LW4" s="203">
        <v>334</v>
      </c>
      <c r="LX4" s="203">
        <v>335</v>
      </c>
      <c r="LY4" s="203">
        <v>336</v>
      </c>
      <c r="LZ4" s="203">
        <v>337</v>
      </c>
      <c r="MA4" s="203">
        <v>338</v>
      </c>
      <c r="MB4" s="203">
        <v>339</v>
      </c>
      <c r="MC4" s="203">
        <v>340</v>
      </c>
      <c r="MD4" s="203">
        <v>341</v>
      </c>
      <c r="ME4" s="203">
        <v>342</v>
      </c>
      <c r="MF4" s="203">
        <v>343</v>
      </c>
      <c r="MG4" s="203">
        <v>344</v>
      </c>
      <c r="MH4" s="203">
        <v>345</v>
      </c>
      <c r="MI4" s="203">
        <v>346</v>
      </c>
      <c r="MJ4" s="203">
        <v>347</v>
      </c>
      <c r="MK4" s="203">
        <v>348</v>
      </c>
      <c r="ML4" s="203">
        <v>349</v>
      </c>
      <c r="MM4" s="203">
        <v>350</v>
      </c>
      <c r="MN4" s="203">
        <v>351</v>
      </c>
      <c r="MO4" s="203">
        <v>352</v>
      </c>
      <c r="MP4" s="203">
        <v>353</v>
      </c>
      <c r="MQ4" s="203">
        <v>354</v>
      </c>
      <c r="MR4" s="203">
        <v>355</v>
      </c>
      <c r="MS4" s="203">
        <v>356</v>
      </c>
      <c r="MT4" s="203">
        <v>357</v>
      </c>
      <c r="MU4" s="203">
        <v>358</v>
      </c>
      <c r="MV4" s="203">
        <v>359</v>
      </c>
      <c r="MW4" s="203">
        <v>360</v>
      </c>
      <c r="MX4" s="203">
        <v>361</v>
      </c>
      <c r="MY4" s="203">
        <v>362</v>
      </c>
      <c r="MZ4" s="203">
        <v>363</v>
      </c>
      <c r="NA4" s="203">
        <v>364</v>
      </c>
      <c r="NB4" s="203">
        <v>365</v>
      </c>
      <c r="NC4" s="203">
        <v>366</v>
      </c>
      <c r="ND4" s="203">
        <v>367</v>
      </c>
      <c r="NE4" s="203">
        <v>368</v>
      </c>
      <c r="NF4" s="203">
        <v>369</v>
      </c>
      <c r="NG4" s="203">
        <v>370</v>
      </c>
      <c r="NH4" s="203">
        <v>371</v>
      </c>
      <c r="NI4" s="203">
        <v>372</v>
      </c>
      <c r="NJ4" s="203">
        <v>373</v>
      </c>
      <c r="NK4" s="203">
        <v>374</v>
      </c>
      <c r="NL4" s="203">
        <v>375</v>
      </c>
      <c r="NM4" s="203">
        <v>376</v>
      </c>
      <c r="NN4" s="203">
        <v>377</v>
      </c>
      <c r="NO4" s="203">
        <v>378</v>
      </c>
      <c r="NP4" s="203">
        <v>379</v>
      </c>
      <c r="NQ4" s="203">
        <v>380</v>
      </c>
      <c r="NR4" s="203">
        <v>381</v>
      </c>
      <c r="NS4" s="203">
        <v>382</v>
      </c>
      <c r="NT4" s="203">
        <v>383</v>
      </c>
      <c r="NU4" s="203">
        <v>384</v>
      </c>
      <c r="NV4" s="203">
        <v>385</v>
      </c>
      <c r="NW4" s="203">
        <v>386</v>
      </c>
      <c r="NX4" s="203">
        <v>387</v>
      </c>
      <c r="NY4" s="203">
        <v>388</v>
      </c>
      <c r="NZ4" s="203">
        <v>389</v>
      </c>
      <c r="OA4" s="203">
        <v>390</v>
      </c>
      <c r="OB4" s="203">
        <v>391</v>
      </c>
      <c r="OC4" s="203">
        <v>392</v>
      </c>
      <c r="OD4" s="203">
        <v>393</v>
      </c>
      <c r="OE4" s="203">
        <v>394</v>
      </c>
      <c r="OF4" s="203">
        <v>395</v>
      </c>
      <c r="OG4" s="203">
        <v>396</v>
      </c>
      <c r="OH4" s="203">
        <v>397</v>
      </c>
      <c r="OI4" s="203">
        <v>398</v>
      </c>
      <c r="OJ4" s="203">
        <v>399</v>
      </c>
      <c r="OK4" s="203">
        <v>400</v>
      </c>
      <c r="OL4" s="203">
        <v>401</v>
      </c>
      <c r="OM4" s="203">
        <v>402</v>
      </c>
      <c r="ON4" s="203">
        <v>403</v>
      </c>
      <c r="OO4" s="203">
        <v>404</v>
      </c>
      <c r="OP4" s="203">
        <v>405</v>
      </c>
      <c r="OQ4" s="203">
        <v>406</v>
      </c>
      <c r="OR4" s="203">
        <v>407</v>
      </c>
      <c r="OS4" s="203">
        <v>408</v>
      </c>
      <c r="OT4" s="203">
        <v>409</v>
      </c>
      <c r="OU4" s="203">
        <v>410</v>
      </c>
      <c r="OV4" s="203">
        <v>411</v>
      </c>
      <c r="OW4" s="203">
        <v>412</v>
      </c>
      <c r="OX4" s="203">
        <v>413</v>
      </c>
      <c r="OY4" s="203">
        <v>414</v>
      </c>
      <c r="OZ4" s="203">
        <v>415</v>
      </c>
      <c r="PA4" s="203">
        <v>416</v>
      </c>
      <c r="PB4" s="203">
        <v>417</v>
      </c>
      <c r="PC4" s="203">
        <v>418</v>
      </c>
      <c r="PD4" s="203">
        <v>419</v>
      </c>
      <c r="PE4" s="203">
        <v>420</v>
      </c>
      <c r="PF4" s="203">
        <v>421</v>
      </c>
      <c r="PG4" s="203">
        <v>422</v>
      </c>
      <c r="PH4" s="203">
        <v>423</v>
      </c>
      <c r="PI4" s="203">
        <v>424</v>
      </c>
      <c r="PJ4" s="203">
        <v>425</v>
      </c>
      <c r="PK4" s="203">
        <v>426</v>
      </c>
      <c r="PL4" s="203">
        <v>427</v>
      </c>
      <c r="PM4" s="203">
        <v>428</v>
      </c>
      <c r="PN4" s="203">
        <v>429</v>
      </c>
      <c r="PO4" s="203">
        <v>430</v>
      </c>
      <c r="PP4" s="203">
        <v>431</v>
      </c>
      <c r="PQ4" s="203">
        <v>432</v>
      </c>
      <c r="PR4" s="203">
        <v>433</v>
      </c>
      <c r="PS4" s="203">
        <v>434</v>
      </c>
      <c r="PT4" s="203">
        <v>435</v>
      </c>
      <c r="PU4" s="203">
        <v>436</v>
      </c>
      <c r="PV4" s="203">
        <v>437</v>
      </c>
      <c r="PW4" s="203">
        <v>438</v>
      </c>
      <c r="PX4" s="203">
        <v>439</v>
      </c>
      <c r="PY4" s="203">
        <v>440</v>
      </c>
      <c r="PZ4" s="203">
        <v>441</v>
      </c>
      <c r="QA4" s="203">
        <v>442</v>
      </c>
      <c r="QB4" s="203">
        <v>443</v>
      </c>
      <c r="QC4" s="203">
        <v>444</v>
      </c>
      <c r="QD4" s="203">
        <v>445</v>
      </c>
      <c r="QE4" s="203">
        <v>446</v>
      </c>
      <c r="QF4" s="203">
        <v>447</v>
      </c>
      <c r="QG4" s="203">
        <v>448</v>
      </c>
      <c r="QH4" s="203">
        <v>449</v>
      </c>
      <c r="QI4" s="203">
        <v>450</v>
      </c>
      <c r="QJ4" s="203">
        <v>451</v>
      </c>
      <c r="QK4" s="203">
        <v>452</v>
      </c>
      <c r="QL4" s="203">
        <v>453</v>
      </c>
      <c r="QM4" s="203">
        <v>454</v>
      </c>
      <c r="QN4" s="203">
        <v>455</v>
      </c>
      <c r="QO4" s="203">
        <v>456</v>
      </c>
      <c r="QP4" s="203">
        <v>457</v>
      </c>
      <c r="QQ4" s="203">
        <v>458</v>
      </c>
      <c r="QR4" s="203">
        <v>459</v>
      </c>
      <c r="QS4" s="203">
        <v>460</v>
      </c>
      <c r="QT4" s="203">
        <v>461</v>
      </c>
      <c r="QU4" s="203">
        <v>462</v>
      </c>
      <c r="QV4" s="203">
        <v>463</v>
      </c>
      <c r="QW4" s="203">
        <v>464</v>
      </c>
      <c r="QX4" s="203">
        <v>465</v>
      </c>
      <c r="QY4" s="203">
        <v>466</v>
      </c>
      <c r="QZ4" s="203">
        <v>467</v>
      </c>
      <c r="RA4" s="203">
        <v>468</v>
      </c>
      <c r="RB4" s="203">
        <v>469</v>
      </c>
      <c r="RC4" s="203">
        <v>470</v>
      </c>
      <c r="RD4" s="203">
        <v>471</v>
      </c>
      <c r="RE4" s="203">
        <v>472</v>
      </c>
      <c r="RF4" s="203">
        <v>473</v>
      </c>
      <c r="RG4" s="203">
        <v>474</v>
      </c>
      <c r="RH4" s="203">
        <v>475</v>
      </c>
      <c r="RI4" s="203">
        <v>476</v>
      </c>
      <c r="RJ4" s="203">
        <v>477</v>
      </c>
      <c r="RK4" s="203">
        <v>478</v>
      </c>
      <c r="RL4" s="203">
        <v>479</v>
      </c>
      <c r="RM4" s="203">
        <v>480</v>
      </c>
      <c r="RN4" s="203">
        <v>481</v>
      </c>
      <c r="RO4" s="203">
        <v>482</v>
      </c>
      <c r="RP4" s="203">
        <v>483</v>
      </c>
      <c r="RQ4" s="203">
        <v>484</v>
      </c>
      <c r="RR4" s="203">
        <v>485</v>
      </c>
      <c r="RS4" s="203">
        <v>486</v>
      </c>
      <c r="RT4" s="203">
        <v>487</v>
      </c>
      <c r="RU4" s="203">
        <v>488</v>
      </c>
      <c r="RV4" s="203">
        <v>489</v>
      </c>
      <c r="RW4" s="203">
        <v>490</v>
      </c>
      <c r="RX4" s="203">
        <v>491</v>
      </c>
      <c r="RY4" s="203">
        <v>492</v>
      </c>
      <c r="RZ4" s="203">
        <v>493</v>
      </c>
      <c r="SA4" s="203">
        <v>494</v>
      </c>
      <c r="SB4" s="203">
        <v>495</v>
      </c>
      <c r="SC4" s="203">
        <v>496</v>
      </c>
      <c r="SD4" s="203">
        <v>497</v>
      </c>
      <c r="SE4" s="203">
        <v>498</v>
      </c>
      <c r="SF4" s="203">
        <v>499</v>
      </c>
      <c r="SG4" s="203">
        <v>500</v>
      </c>
      <c r="SH4" s="203">
        <v>501</v>
      </c>
      <c r="SI4" s="203">
        <v>502</v>
      </c>
      <c r="SJ4" s="203">
        <v>503</v>
      </c>
      <c r="SK4" s="203">
        <v>504</v>
      </c>
      <c r="SL4" s="203">
        <v>505</v>
      </c>
      <c r="SM4" s="203">
        <v>506</v>
      </c>
      <c r="SN4" s="203">
        <v>507</v>
      </c>
      <c r="SO4" s="203">
        <v>508</v>
      </c>
      <c r="SP4" s="203">
        <v>509</v>
      </c>
      <c r="SQ4" s="203">
        <v>510</v>
      </c>
      <c r="SR4" s="203">
        <v>511</v>
      </c>
      <c r="SS4" s="203">
        <v>512</v>
      </c>
      <c r="ST4" s="203">
        <v>513</v>
      </c>
      <c r="SU4" s="203">
        <v>514</v>
      </c>
      <c r="SV4" s="203">
        <v>515</v>
      </c>
      <c r="SW4" s="203">
        <v>516</v>
      </c>
      <c r="SX4" s="203">
        <v>517</v>
      </c>
      <c r="SY4" s="203">
        <v>518</v>
      </c>
      <c r="SZ4" s="203">
        <v>519</v>
      </c>
      <c r="TA4" s="203">
        <v>520</v>
      </c>
      <c r="TB4" s="203">
        <v>521</v>
      </c>
      <c r="TC4" s="203">
        <v>522</v>
      </c>
      <c r="TD4" s="203">
        <v>523</v>
      </c>
      <c r="TE4" s="203">
        <v>524</v>
      </c>
      <c r="TF4" s="203">
        <v>525</v>
      </c>
      <c r="TG4" s="203">
        <v>526</v>
      </c>
      <c r="TH4" s="203">
        <v>527</v>
      </c>
      <c r="TI4" s="203">
        <v>528</v>
      </c>
      <c r="TJ4" s="203">
        <v>529</v>
      </c>
      <c r="TK4" s="203">
        <v>530</v>
      </c>
      <c r="TL4" s="203">
        <v>531</v>
      </c>
      <c r="TM4" s="203">
        <v>532</v>
      </c>
      <c r="TN4" s="203">
        <v>533</v>
      </c>
      <c r="TO4" s="203">
        <v>534</v>
      </c>
      <c r="TP4" s="203">
        <v>535</v>
      </c>
      <c r="TQ4" s="203">
        <v>536</v>
      </c>
      <c r="TR4" s="203">
        <v>537</v>
      </c>
      <c r="TS4" s="203">
        <v>538</v>
      </c>
      <c r="TT4" s="203">
        <v>539</v>
      </c>
      <c r="TU4" s="203">
        <v>540</v>
      </c>
      <c r="TV4" s="203">
        <v>541</v>
      </c>
      <c r="TW4" s="203">
        <v>542</v>
      </c>
      <c r="TX4" s="203">
        <v>543</v>
      </c>
      <c r="TY4" s="203">
        <v>544</v>
      </c>
      <c r="TZ4" s="203">
        <v>545</v>
      </c>
      <c r="UA4" s="203">
        <v>546</v>
      </c>
      <c r="UB4" s="203">
        <v>547</v>
      </c>
      <c r="UC4" s="203">
        <v>548</v>
      </c>
      <c r="UD4" s="203">
        <v>549</v>
      </c>
      <c r="UE4" s="203">
        <v>550</v>
      </c>
      <c r="UF4" s="203">
        <v>551</v>
      </c>
      <c r="UG4" s="203">
        <v>552</v>
      </c>
      <c r="UH4" s="203">
        <v>553</v>
      </c>
      <c r="UI4" s="203">
        <v>554</v>
      </c>
      <c r="UJ4" s="203">
        <v>555</v>
      </c>
      <c r="UK4" s="203">
        <v>556</v>
      </c>
      <c r="UL4" s="203">
        <v>557</v>
      </c>
      <c r="UM4" s="203">
        <v>558</v>
      </c>
      <c r="UN4" s="203">
        <v>559</v>
      </c>
      <c r="UO4" s="203">
        <v>560</v>
      </c>
      <c r="UP4" s="203">
        <v>561</v>
      </c>
      <c r="UQ4" s="203">
        <v>562</v>
      </c>
      <c r="UR4" s="203">
        <v>563</v>
      </c>
      <c r="US4" s="203">
        <v>564</v>
      </c>
      <c r="UT4" s="203">
        <v>565</v>
      </c>
      <c r="UU4" s="203">
        <v>566</v>
      </c>
      <c r="UV4" s="203">
        <v>567</v>
      </c>
      <c r="UW4" s="203">
        <v>568</v>
      </c>
      <c r="UX4" s="203">
        <v>569</v>
      </c>
      <c r="UY4" s="203">
        <v>570</v>
      </c>
      <c r="UZ4" s="203">
        <v>571</v>
      </c>
      <c r="VA4" s="203">
        <v>572</v>
      </c>
      <c r="VB4" s="203">
        <v>573</v>
      </c>
      <c r="VC4" s="203">
        <v>574</v>
      </c>
      <c r="VD4" s="203">
        <v>575</v>
      </c>
      <c r="VE4" s="203">
        <v>576</v>
      </c>
      <c r="VF4" s="203">
        <v>577</v>
      </c>
      <c r="VG4" s="203">
        <v>578</v>
      </c>
      <c r="VH4" s="203">
        <v>579</v>
      </c>
      <c r="VI4" s="203">
        <v>580</v>
      </c>
      <c r="VJ4" s="203">
        <v>581</v>
      </c>
      <c r="VK4" s="203">
        <v>582</v>
      </c>
      <c r="VL4" s="203">
        <v>583</v>
      </c>
      <c r="VM4" s="203">
        <v>584</v>
      </c>
      <c r="VN4" s="203">
        <v>585</v>
      </c>
      <c r="VO4" s="203">
        <v>586</v>
      </c>
    </row>
    <row r="5" spans="1:587">
      <c r="A5" s="1" t="s">
        <v>6820</v>
      </c>
      <c r="B5" s="203" t="s">
        <v>6821</v>
      </c>
      <c r="C5" s="203" t="s">
        <v>6822</v>
      </c>
      <c r="D5" s="203" t="s">
        <v>1173</v>
      </c>
      <c r="E5" s="203" t="s">
        <v>6823</v>
      </c>
      <c r="F5" s="203" t="s">
        <v>6824</v>
      </c>
      <c r="G5" s="203" t="s">
        <v>148</v>
      </c>
      <c r="H5" s="203" t="s">
        <v>6825</v>
      </c>
      <c r="I5" s="203" t="s">
        <v>6826</v>
      </c>
      <c r="J5" s="203" t="s">
        <v>6827</v>
      </c>
      <c r="K5" s="203" t="s">
        <v>6828</v>
      </c>
      <c r="L5" s="203" t="s">
        <v>6829</v>
      </c>
      <c r="M5" s="203" t="s">
        <v>6830</v>
      </c>
      <c r="N5" s="203" t="s">
        <v>6831</v>
      </c>
      <c r="O5" s="203" t="s">
        <v>6832</v>
      </c>
      <c r="P5" s="203" t="s">
        <v>6833</v>
      </c>
      <c r="Q5" s="203" t="s">
        <v>6834</v>
      </c>
      <c r="R5" s="203" t="s">
        <v>6835</v>
      </c>
      <c r="S5" s="203" t="s">
        <v>6836</v>
      </c>
      <c r="T5" s="203" t="s">
        <v>6837</v>
      </c>
      <c r="U5" s="203" t="s">
        <v>6838</v>
      </c>
      <c r="V5" s="203" t="s">
        <v>6839</v>
      </c>
      <c r="W5" s="203" t="s">
        <v>6840</v>
      </c>
      <c r="X5" s="203" t="s">
        <v>6841</v>
      </c>
      <c r="Y5" s="203" t="s">
        <v>6842</v>
      </c>
      <c r="Z5" s="203" t="s">
        <v>6843</v>
      </c>
      <c r="AA5" s="203" t="s">
        <v>6844</v>
      </c>
      <c r="AB5" s="203" t="s">
        <v>6845</v>
      </c>
      <c r="AC5" s="203" t="s">
        <v>6846</v>
      </c>
      <c r="AD5" s="203" t="s">
        <v>6847</v>
      </c>
      <c r="AE5" s="203" t="s">
        <v>6848</v>
      </c>
      <c r="AF5" s="203" t="s">
        <v>6849</v>
      </c>
      <c r="AG5" s="203" t="s">
        <v>6850</v>
      </c>
      <c r="AH5" s="203" t="s">
        <v>6851</v>
      </c>
      <c r="AI5" s="203" t="s">
        <v>6852</v>
      </c>
      <c r="AJ5" s="203" t="s">
        <v>6853</v>
      </c>
      <c r="AK5" s="203" t="s">
        <v>6854</v>
      </c>
      <c r="AL5" s="203" t="s">
        <v>6855</v>
      </c>
      <c r="AM5" s="203" t="s">
        <v>6856</v>
      </c>
      <c r="AN5" s="203" t="s">
        <v>6857</v>
      </c>
      <c r="AO5" s="203" t="s">
        <v>6858</v>
      </c>
      <c r="AP5" s="203" t="s">
        <v>6859</v>
      </c>
      <c r="AQ5" s="203" t="s">
        <v>6860</v>
      </c>
      <c r="AR5" s="203" t="s">
        <v>6861</v>
      </c>
      <c r="AS5" s="203" t="s">
        <v>6862</v>
      </c>
      <c r="AT5" s="203" t="s">
        <v>6863</v>
      </c>
      <c r="AU5" s="203" t="s">
        <v>6864</v>
      </c>
      <c r="AV5" s="203" t="s">
        <v>6865</v>
      </c>
      <c r="AW5" s="203" t="s">
        <v>6866</v>
      </c>
      <c r="AX5" s="203" t="s">
        <v>6867</v>
      </c>
      <c r="AY5" s="203" t="s">
        <v>6868</v>
      </c>
      <c r="AZ5" s="203" t="s">
        <v>6869</v>
      </c>
      <c r="BA5" s="203" t="s">
        <v>6870</v>
      </c>
      <c r="BB5" s="277" t="s">
        <v>6871</v>
      </c>
      <c r="BC5" s="203" t="s">
        <v>6872</v>
      </c>
      <c r="BD5" s="203" t="s">
        <v>6873</v>
      </c>
      <c r="BE5" s="203" t="s">
        <v>6874</v>
      </c>
      <c r="BF5" s="203" t="s">
        <v>6875</v>
      </c>
      <c r="BG5" s="203" t="s">
        <v>6876</v>
      </c>
      <c r="BH5" s="203" t="s">
        <v>6877</v>
      </c>
      <c r="BI5" s="203" t="s">
        <v>6878</v>
      </c>
      <c r="BJ5" s="203" t="s">
        <v>6879</v>
      </c>
      <c r="BK5" s="203" t="s">
        <v>6880</v>
      </c>
      <c r="BL5" s="203" t="s">
        <v>6881</v>
      </c>
      <c r="BM5" s="203" t="s">
        <v>6882</v>
      </c>
      <c r="BN5" s="203" t="s">
        <v>6883</v>
      </c>
      <c r="BO5" s="203" t="s">
        <v>6884</v>
      </c>
      <c r="BP5" s="203" t="s">
        <v>6885</v>
      </c>
      <c r="BQ5" s="203" t="s">
        <v>6886</v>
      </c>
      <c r="BR5" s="203" t="s">
        <v>6887</v>
      </c>
      <c r="BS5" s="203" t="s">
        <v>6888</v>
      </c>
      <c r="BT5" s="203" t="s">
        <v>6889</v>
      </c>
      <c r="BU5" s="203" t="s">
        <v>6890</v>
      </c>
      <c r="BV5" s="203" t="s">
        <v>6891</v>
      </c>
      <c r="BW5" s="203" t="s">
        <v>6868</v>
      </c>
      <c r="BX5" s="203" t="s">
        <v>6837</v>
      </c>
      <c r="BY5" s="203" t="s">
        <v>6892</v>
      </c>
      <c r="BZ5" s="203" t="s">
        <v>6893</v>
      </c>
      <c r="CA5" s="203" t="s">
        <v>6894</v>
      </c>
      <c r="CB5" s="203" t="s">
        <v>6895</v>
      </c>
      <c r="CC5" s="203" t="s">
        <v>6896</v>
      </c>
      <c r="CD5" s="203" t="s">
        <v>6897</v>
      </c>
      <c r="CE5" s="203" t="s">
        <v>6898</v>
      </c>
      <c r="CF5" s="203" t="s">
        <v>6899</v>
      </c>
      <c r="CG5" s="203" t="s">
        <v>6900</v>
      </c>
      <c r="CH5" s="203" t="s">
        <v>6901</v>
      </c>
      <c r="CI5" s="203" t="s">
        <v>6902</v>
      </c>
      <c r="CJ5" s="203" t="s">
        <v>6903</v>
      </c>
      <c r="CK5" s="203" t="s">
        <v>6904</v>
      </c>
      <c r="CL5" s="203" t="s">
        <v>6905</v>
      </c>
      <c r="CM5" s="203" t="s">
        <v>6906</v>
      </c>
      <c r="CN5" s="203" t="s">
        <v>6907</v>
      </c>
      <c r="CO5" s="203" t="s">
        <v>6908</v>
      </c>
      <c r="CP5" s="203" t="s">
        <v>6909</v>
      </c>
      <c r="CQ5" s="203" t="s">
        <v>6910</v>
      </c>
      <c r="CR5" s="203" t="s">
        <v>6911</v>
      </c>
      <c r="CS5" s="203" t="s">
        <v>6912</v>
      </c>
      <c r="CT5" s="203" t="s">
        <v>6913</v>
      </c>
      <c r="CU5" s="203" t="s">
        <v>6914</v>
      </c>
      <c r="CV5" s="203" t="s">
        <v>6915</v>
      </c>
      <c r="CW5" s="203" t="s">
        <v>6916</v>
      </c>
      <c r="CX5" s="203" t="s">
        <v>6917</v>
      </c>
      <c r="CY5" s="203" t="s">
        <v>6918</v>
      </c>
      <c r="CZ5" s="203" t="s">
        <v>6919</v>
      </c>
      <c r="DA5" s="203" t="s">
        <v>6920</v>
      </c>
      <c r="DB5" s="203" t="s">
        <v>6921</v>
      </c>
      <c r="DC5" s="203" t="s">
        <v>6922</v>
      </c>
      <c r="DD5" s="203" t="s">
        <v>6923</v>
      </c>
      <c r="DE5" s="203" t="s">
        <v>6924</v>
      </c>
      <c r="DF5" s="203" t="s">
        <v>6925</v>
      </c>
      <c r="DG5" s="203" t="s">
        <v>6926</v>
      </c>
      <c r="DH5" s="203" t="s">
        <v>6927</v>
      </c>
      <c r="DI5" s="203" t="s">
        <v>6928</v>
      </c>
      <c r="DJ5" s="203" t="s">
        <v>6929</v>
      </c>
      <c r="DK5" s="203" t="s">
        <v>6930</v>
      </c>
      <c r="DL5" s="203" t="s">
        <v>6931</v>
      </c>
      <c r="DM5" s="203" t="s">
        <v>6932</v>
      </c>
      <c r="DN5" s="203" t="s">
        <v>6933</v>
      </c>
      <c r="DO5" s="203" t="s">
        <v>6934</v>
      </c>
      <c r="DP5" s="203" t="s">
        <v>6935</v>
      </c>
      <c r="DQ5" s="203" t="s">
        <v>6936</v>
      </c>
      <c r="DR5" s="203" t="s">
        <v>6937</v>
      </c>
      <c r="DS5" s="203" t="s">
        <v>6938</v>
      </c>
      <c r="DT5" s="203" t="s">
        <v>6939</v>
      </c>
      <c r="DU5" s="203" t="s">
        <v>6940</v>
      </c>
      <c r="DV5" s="203" t="s">
        <v>6941</v>
      </c>
      <c r="DW5" s="203" t="s">
        <v>6942</v>
      </c>
      <c r="DX5" s="203" t="s">
        <v>6943</v>
      </c>
      <c r="DY5" s="203" t="s">
        <v>6944</v>
      </c>
      <c r="DZ5" s="203" t="s">
        <v>6945</v>
      </c>
      <c r="EA5" s="203" t="s">
        <v>6946</v>
      </c>
      <c r="EB5" s="203" t="s">
        <v>6947</v>
      </c>
      <c r="EC5" s="203" t="s">
        <v>6948</v>
      </c>
      <c r="ED5" s="203" t="s">
        <v>6949</v>
      </c>
      <c r="EE5" s="203" t="s">
        <v>6893</v>
      </c>
      <c r="EF5" s="203" t="s">
        <v>6950</v>
      </c>
      <c r="EG5" s="203" t="s">
        <v>6951</v>
      </c>
      <c r="EH5" s="203" t="s">
        <v>6952</v>
      </c>
      <c r="EI5" s="203" t="s">
        <v>6953</v>
      </c>
      <c r="EJ5" s="203" t="s">
        <v>6954</v>
      </c>
      <c r="EK5" s="203" t="s">
        <v>6955</v>
      </c>
      <c r="EL5" s="203" t="s">
        <v>6956</v>
      </c>
      <c r="EM5" s="203" t="s">
        <v>6957</v>
      </c>
      <c r="EN5" s="203" t="s">
        <v>6958</v>
      </c>
      <c r="EO5" s="203" t="s">
        <v>6959</v>
      </c>
      <c r="EP5" s="203" t="s">
        <v>6960</v>
      </c>
      <c r="EQ5" s="203" t="s">
        <v>6961</v>
      </c>
      <c r="ER5" s="203" t="s">
        <v>6962</v>
      </c>
      <c r="ES5" s="203" t="s">
        <v>6963</v>
      </c>
      <c r="ET5" s="203" t="s">
        <v>6964</v>
      </c>
      <c r="EU5" s="203" t="s">
        <v>6965</v>
      </c>
      <c r="EV5" s="203" t="s">
        <v>6966</v>
      </c>
      <c r="EW5" s="203" t="s">
        <v>6967</v>
      </c>
      <c r="EX5" s="203" t="s">
        <v>6968</v>
      </c>
      <c r="EY5" s="203" t="s">
        <v>6969</v>
      </c>
      <c r="EZ5" s="203" t="s">
        <v>6970</v>
      </c>
      <c r="FA5" s="203" t="s">
        <v>6971</v>
      </c>
      <c r="FB5" s="203" t="s">
        <v>6972</v>
      </c>
      <c r="FC5" s="203" t="s">
        <v>6973</v>
      </c>
      <c r="FD5" s="203" t="s">
        <v>6974</v>
      </c>
      <c r="FE5" s="203" t="s">
        <v>6975</v>
      </c>
      <c r="FF5" s="203" t="s">
        <v>6976</v>
      </c>
      <c r="FG5" s="203" t="s">
        <v>6977</v>
      </c>
      <c r="FH5" s="203" t="s">
        <v>6978</v>
      </c>
      <c r="FI5" s="203" t="s">
        <v>6979</v>
      </c>
      <c r="FJ5" s="203" t="s">
        <v>6980</v>
      </c>
      <c r="FK5" s="203" t="s">
        <v>6981</v>
      </c>
      <c r="FL5" s="203" t="s">
        <v>6982</v>
      </c>
      <c r="FM5" s="203" t="s">
        <v>6983</v>
      </c>
      <c r="FN5" s="203" t="s">
        <v>6984</v>
      </c>
      <c r="FO5" s="203" t="s">
        <v>6985</v>
      </c>
      <c r="FP5" s="203" t="s">
        <v>6986</v>
      </c>
      <c r="FQ5" s="203" t="s">
        <v>6987</v>
      </c>
      <c r="FR5" s="203" t="s">
        <v>6988</v>
      </c>
      <c r="FS5" s="203" t="s">
        <v>6989</v>
      </c>
      <c r="FT5" s="203" t="s">
        <v>6990</v>
      </c>
      <c r="FU5" s="203" t="s">
        <v>6991</v>
      </c>
      <c r="FV5" s="203" t="s">
        <v>6992</v>
      </c>
      <c r="FW5" s="203" t="s">
        <v>6709</v>
      </c>
      <c r="FX5" s="203" t="s">
        <v>6993</v>
      </c>
      <c r="FY5" s="203" t="s">
        <v>6549</v>
      </c>
      <c r="FZ5" s="203" t="s">
        <v>6994</v>
      </c>
      <c r="GA5" s="203" t="s">
        <v>6559</v>
      </c>
      <c r="GB5" s="203" t="s">
        <v>6995</v>
      </c>
      <c r="GC5" s="203" t="s">
        <v>6996</v>
      </c>
      <c r="GD5" s="203" t="s">
        <v>6997</v>
      </c>
      <c r="GE5" s="203" t="s">
        <v>6998</v>
      </c>
      <c r="GF5" s="203" t="s">
        <v>6999</v>
      </c>
      <c r="GG5" s="203" t="s">
        <v>7000</v>
      </c>
      <c r="GH5" s="203" t="s">
        <v>7001</v>
      </c>
      <c r="GI5" s="203" t="s">
        <v>7002</v>
      </c>
      <c r="GJ5" s="203" t="s">
        <v>7003</v>
      </c>
      <c r="GK5" s="203" t="s">
        <v>7004</v>
      </c>
      <c r="GL5" s="203" t="s">
        <v>7005</v>
      </c>
      <c r="GM5" s="203" t="s">
        <v>7006</v>
      </c>
      <c r="GN5" s="203" t="s">
        <v>7007</v>
      </c>
      <c r="GO5" s="203" t="s">
        <v>7008</v>
      </c>
      <c r="GP5" s="203" t="s">
        <v>7009</v>
      </c>
      <c r="GQ5" s="203" t="s">
        <v>7010</v>
      </c>
      <c r="GR5" s="203" t="s">
        <v>7011</v>
      </c>
      <c r="GS5" s="203" t="s">
        <v>7012</v>
      </c>
      <c r="GT5" s="203" t="s">
        <v>7013</v>
      </c>
      <c r="GU5" s="203" t="s">
        <v>7014</v>
      </c>
      <c r="GV5" s="203" t="s">
        <v>7015</v>
      </c>
      <c r="GW5" s="203" t="s">
        <v>7016</v>
      </c>
      <c r="GX5" s="203" t="s">
        <v>7017</v>
      </c>
      <c r="GY5" s="203" t="s">
        <v>7018</v>
      </c>
      <c r="GZ5" s="203" t="s">
        <v>7019</v>
      </c>
      <c r="HA5" s="203" t="s">
        <v>7020</v>
      </c>
      <c r="HB5" s="203" t="s">
        <v>7021</v>
      </c>
      <c r="HC5" s="203" t="s">
        <v>7022</v>
      </c>
      <c r="HD5" s="203" t="s">
        <v>7023</v>
      </c>
      <c r="HE5" s="203" t="s">
        <v>7024</v>
      </c>
      <c r="HF5" s="203" t="s">
        <v>7025</v>
      </c>
      <c r="HG5" s="203" t="s">
        <v>7026</v>
      </c>
      <c r="HH5" s="203" t="s">
        <v>7027</v>
      </c>
      <c r="HI5" s="203" t="s">
        <v>7028</v>
      </c>
      <c r="HJ5" s="203" t="s">
        <v>7029</v>
      </c>
      <c r="HK5" s="203" t="s">
        <v>7030</v>
      </c>
      <c r="HL5" s="203" t="s">
        <v>7031</v>
      </c>
      <c r="HM5" s="203" t="s">
        <v>7032</v>
      </c>
      <c r="HN5" s="203" t="s">
        <v>7033</v>
      </c>
      <c r="HO5" s="203" t="s">
        <v>7034</v>
      </c>
      <c r="HP5" s="203" t="s">
        <v>7035</v>
      </c>
      <c r="HQ5" s="203" t="s">
        <v>7036</v>
      </c>
      <c r="HR5" s="203" t="s">
        <v>7037</v>
      </c>
      <c r="HS5" s="203" t="s">
        <v>7038</v>
      </c>
      <c r="HT5" s="203" t="s">
        <v>7039</v>
      </c>
      <c r="HU5" s="203" t="s">
        <v>7040</v>
      </c>
      <c r="HV5" s="203" t="s">
        <v>7041</v>
      </c>
      <c r="HW5" s="203" t="s">
        <v>7042</v>
      </c>
      <c r="HX5" s="203" t="s">
        <v>7043</v>
      </c>
      <c r="HY5" s="203" t="s">
        <v>7044</v>
      </c>
      <c r="HZ5" s="203" t="s">
        <v>7045</v>
      </c>
      <c r="IA5" s="203" t="s">
        <v>7046</v>
      </c>
      <c r="IB5" s="203" t="s">
        <v>7047</v>
      </c>
      <c r="IC5" s="203" t="s">
        <v>7048</v>
      </c>
      <c r="ID5" s="203" t="s">
        <v>7049</v>
      </c>
      <c r="IE5" s="203" t="s">
        <v>7050</v>
      </c>
      <c r="IF5" s="203" t="s">
        <v>7051</v>
      </c>
      <c r="IG5" s="203" t="s">
        <v>7052</v>
      </c>
      <c r="IH5" s="203" t="s">
        <v>7053</v>
      </c>
      <c r="II5" s="203" t="s">
        <v>7054</v>
      </c>
      <c r="IJ5" s="203" t="s">
        <v>7055</v>
      </c>
      <c r="IK5" s="203" t="s">
        <v>7056</v>
      </c>
      <c r="IL5" s="203" t="s">
        <v>7057</v>
      </c>
      <c r="IM5" s="203" t="s">
        <v>7058</v>
      </c>
      <c r="IN5" s="203" t="s">
        <v>7059</v>
      </c>
      <c r="IO5" s="203" t="s">
        <v>7060</v>
      </c>
      <c r="IP5" s="203" t="s">
        <v>7061</v>
      </c>
      <c r="IQ5" s="203" t="s">
        <v>7062</v>
      </c>
      <c r="IR5" s="203" t="s">
        <v>7063</v>
      </c>
      <c r="IS5" s="203" t="s">
        <v>7064</v>
      </c>
      <c r="IT5" s="203" t="s">
        <v>7065</v>
      </c>
      <c r="IU5" s="203" t="s">
        <v>7066</v>
      </c>
      <c r="IV5" s="203" t="s">
        <v>7067</v>
      </c>
      <c r="IW5" s="203" t="s">
        <v>7068</v>
      </c>
      <c r="IX5" s="203" t="s">
        <v>7069</v>
      </c>
      <c r="IY5" s="203" t="s">
        <v>7070</v>
      </c>
      <c r="IZ5" s="203" t="s">
        <v>7071</v>
      </c>
      <c r="JA5" s="203" t="s">
        <v>7072</v>
      </c>
      <c r="JB5" s="203" t="s">
        <v>7073</v>
      </c>
      <c r="JC5" s="203" t="s">
        <v>7074</v>
      </c>
      <c r="JD5" s="203" t="s">
        <v>7075</v>
      </c>
      <c r="JE5" s="203" t="s">
        <v>7076</v>
      </c>
      <c r="JF5" s="203" t="s">
        <v>7077</v>
      </c>
      <c r="JG5" s="203" t="s">
        <v>7078</v>
      </c>
      <c r="JH5" s="203" t="s">
        <v>7079</v>
      </c>
      <c r="JI5" s="203" t="s">
        <v>7080</v>
      </c>
      <c r="JJ5" s="203" t="s">
        <v>7081</v>
      </c>
      <c r="JK5" s="203" t="s">
        <v>7082</v>
      </c>
      <c r="JL5" s="203" t="s">
        <v>7083</v>
      </c>
      <c r="JM5" s="203" t="s">
        <v>7084</v>
      </c>
      <c r="JN5" s="203" t="s">
        <v>7085</v>
      </c>
      <c r="JO5" s="203" t="s">
        <v>7086</v>
      </c>
      <c r="JP5" s="203" t="s">
        <v>7087</v>
      </c>
      <c r="JQ5" s="203" t="s">
        <v>7088</v>
      </c>
      <c r="JR5" s="203" t="s">
        <v>7089</v>
      </c>
      <c r="JS5" s="203" t="s">
        <v>7090</v>
      </c>
      <c r="JT5" s="203" t="s">
        <v>7091</v>
      </c>
      <c r="JU5" s="203" t="s">
        <v>7092</v>
      </c>
      <c r="JV5" s="203" t="s">
        <v>7093</v>
      </c>
      <c r="JW5" s="203" t="s">
        <v>7094</v>
      </c>
      <c r="JX5" s="203" t="s">
        <v>7095</v>
      </c>
      <c r="JY5" s="203" t="s">
        <v>7096</v>
      </c>
      <c r="JZ5" s="203" t="s">
        <v>7097</v>
      </c>
      <c r="KA5" s="203" t="s">
        <v>7098</v>
      </c>
      <c r="KB5" s="203" t="s">
        <v>6544</v>
      </c>
      <c r="KC5" s="203" t="s">
        <v>6547</v>
      </c>
      <c r="KD5" s="203" t="s">
        <v>6548</v>
      </c>
      <c r="KE5" s="203" t="s">
        <v>6550</v>
      </c>
      <c r="KF5" s="203" t="s">
        <v>6551</v>
      </c>
      <c r="KG5" s="203" t="s">
        <v>6553</v>
      </c>
      <c r="KH5" s="203" t="s">
        <v>6554</v>
      </c>
      <c r="KI5" s="203" t="s">
        <v>6555</v>
      </c>
      <c r="KJ5" s="203" t="s">
        <v>6557</v>
      </c>
      <c r="KK5" s="203" t="s">
        <v>6560</v>
      </c>
      <c r="KL5" s="203" t="s">
        <v>6561</v>
      </c>
      <c r="KM5" s="203" t="s">
        <v>6562</v>
      </c>
      <c r="KN5" s="203" t="s">
        <v>6563</v>
      </c>
      <c r="KO5" s="203" t="s">
        <v>6564</v>
      </c>
      <c r="KP5" s="203" t="s">
        <v>6565</v>
      </c>
      <c r="KQ5" s="203" t="s">
        <v>6566</v>
      </c>
      <c r="KR5" s="203" t="s">
        <v>6567</v>
      </c>
      <c r="KS5" s="203" t="s">
        <v>6569</v>
      </c>
      <c r="KT5" s="203" t="s">
        <v>6570</v>
      </c>
      <c r="KU5" s="203" t="s">
        <v>6571</v>
      </c>
      <c r="KV5" s="203" t="s">
        <v>6572</v>
      </c>
      <c r="KW5" s="203" t="s">
        <v>6574</v>
      </c>
      <c r="KX5" s="203" t="s">
        <v>6575</v>
      </c>
      <c r="KY5" s="203" t="s">
        <v>6576</v>
      </c>
      <c r="KZ5" s="203" t="s">
        <v>6577</v>
      </c>
      <c r="LA5" s="203" t="s">
        <v>6578</v>
      </c>
      <c r="LB5" s="203" t="s">
        <v>6580</v>
      </c>
      <c r="LC5" s="203" t="s">
        <v>6583</v>
      </c>
      <c r="LD5" s="203" t="s">
        <v>6584</v>
      </c>
      <c r="LE5" s="203" t="s">
        <v>6585</v>
      </c>
      <c r="LF5" s="203" t="s">
        <v>6586</v>
      </c>
      <c r="LG5" s="203" t="s">
        <v>6587</v>
      </c>
      <c r="LH5" s="203" t="s">
        <v>6589</v>
      </c>
      <c r="LI5" s="203" t="s">
        <v>6590</v>
      </c>
      <c r="LJ5" s="203" t="s">
        <v>6591</v>
      </c>
      <c r="LK5" s="203" t="s">
        <v>6592</v>
      </c>
      <c r="LL5" s="203" t="s">
        <v>6593</v>
      </c>
      <c r="LM5" s="203" t="s">
        <v>6594</v>
      </c>
      <c r="LN5" s="203" t="s">
        <v>6596</v>
      </c>
      <c r="LO5" s="203" t="s">
        <v>6597</v>
      </c>
      <c r="LP5" s="203" t="s">
        <v>6598</v>
      </c>
      <c r="LQ5" s="203" t="s">
        <v>6599</v>
      </c>
      <c r="LR5" s="203" t="s">
        <v>6600</v>
      </c>
      <c r="LS5" s="203" t="s">
        <v>6601</v>
      </c>
      <c r="LT5" s="203" t="s">
        <v>6602</v>
      </c>
      <c r="LU5" s="203" t="s">
        <v>6603</v>
      </c>
      <c r="LV5" s="203" t="s">
        <v>6605</v>
      </c>
      <c r="LW5" s="203" t="s">
        <v>6606</v>
      </c>
      <c r="LX5" s="203" t="s">
        <v>6607</v>
      </c>
      <c r="LY5" s="203" t="s">
        <v>6608</v>
      </c>
      <c r="LZ5" s="203" t="s">
        <v>6609</v>
      </c>
      <c r="MA5" s="203" t="s">
        <v>6610</v>
      </c>
      <c r="MB5" s="203" t="s">
        <v>6611</v>
      </c>
      <c r="MC5" s="203" t="s">
        <v>6612</v>
      </c>
      <c r="MD5" s="203" t="s">
        <v>6613</v>
      </c>
      <c r="ME5" s="203" t="s">
        <v>6614</v>
      </c>
      <c r="MF5" s="203" t="s">
        <v>6615</v>
      </c>
      <c r="MG5" s="203" t="s">
        <v>6616</v>
      </c>
      <c r="MH5" s="203" t="s">
        <v>6617</v>
      </c>
      <c r="MI5" s="203" t="s">
        <v>6618</v>
      </c>
      <c r="MJ5" s="203" t="s">
        <v>6619</v>
      </c>
      <c r="MK5" s="203" t="s">
        <v>6620</v>
      </c>
      <c r="ML5" s="203" t="s">
        <v>6621</v>
      </c>
      <c r="MM5" s="203" t="s">
        <v>6622</v>
      </c>
      <c r="MN5" s="203" t="s">
        <v>6623</v>
      </c>
      <c r="MO5" s="203" t="s">
        <v>6624</v>
      </c>
      <c r="MP5" s="203" t="s">
        <v>6625</v>
      </c>
      <c r="MQ5" s="203" t="s">
        <v>6626</v>
      </c>
      <c r="MR5" s="203" t="s">
        <v>6627</v>
      </c>
      <c r="MS5" s="203" t="s">
        <v>6628</v>
      </c>
      <c r="MT5" s="203" t="s">
        <v>6629</v>
      </c>
      <c r="MU5" s="203" t="s">
        <v>6630</v>
      </c>
      <c r="MV5" s="203" t="s">
        <v>6631</v>
      </c>
      <c r="MW5" s="203" t="s">
        <v>6632</v>
      </c>
      <c r="MX5" s="203" t="s">
        <v>6633</v>
      </c>
      <c r="MY5" s="203" t="s">
        <v>6634</v>
      </c>
      <c r="MZ5" s="203" t="s">
        <v>6635</v>
      </c>
      <c r="NA5" s="203" t="s">
        <v>6637</v>
      </c>
      <c r="NB5" s="203" t="s">
        <v>6639</v>
      </c>
      <c r="NC5" s="203" t="s">
        <v>6640</v>
      </c>
      <c r="ND5" s="203" t="s">
        <v>6641</v>
      </c>
      <c r="NE5" s="203" t="s">
        <v>6642</v>
      </c>
      <c r="NF5" s="203" t="s">
        <v>6643</v>
      </c>
      <c r="NG5" s="203" t="s">
        <v>6644</v>
      </c>
      <c r="NH5" s="203" t="s">
        <v>6645</v>
      </c>
      <c r="NI5" s="203" t="s">
        <v>6646</v>
      </c>
      <c r="NJ5" s="203" t="s">
        <v>6647</v>
      </c>
      <c r="NK5" s="203" t="s">
        <v>6648</v>
      </c>
      <c r="NL5" s="203" t="s">
        <v>6649</v>
      </c>
      <c r="NM5" s="203" t="s">
        <v>6650</v>
      </c>
      <c r="NN5" s="203" t="s">
        <v>6651</v>
      </c>
      <c r="NO5" s="203" t="s">
        <v>6652</v>
      </c>
      <c r="NP5" s="203" t="s">
        <v>6653</v>
      </c>
      <c r="NQ5" s="203" t="s">
        <v>6654</v>
      </c>
      <c r="NR5" s="203" t="s">
        <v>6655</v>
      </c>
      <c r="NS5" s="203" t="s">
        <v>6656</v>
      </c>
      <c r="NT5" s="203" t="s">
        <v>6657</v>
      </c>
      <c r="NU5" s="203" t="s">
        <v>6658</v>
      </c>
      <c r="NV5" s="203" t="s">
        <v>6659</v>
      </c>
      <c r="NW5" s="203" t="s">
        <v>6660</v>
      </c>
      <c r="NX5" s="203" t="s">
        <v>6661</v>
      </c>
      <c r="NY5" s="203" t="s">
        <v>7099</v>
      </c>
      <c r="NZ5" s="203" t="s">
        <v>7100</v>
      </c>
      <c r="OA5" s="203" t="s">
        <v>7101</v>
      </c>
      <c r="OB5" s="203" t="s">
        <v>7102</v>
      </c>
      <c r="OC5" s="203" t="s">
        <v>7103</v>
      </c>
      <c r="OD5" s="203" t="s">
        <v>7104</v>
      </c>
      <c r="OE5" s="203" t="s">
        <v>7105</v>
      </c>
      <c r="OF5" s="203" t="s">
        <v>7106</v>
      </c>
      <c r="OG5" s="203" t="s">
        <v>7107</v>
      </c>
      <c r="OH5" s="203" t="s">
        <v>7108</v>
      </c>
      <c r="OI5" s="203" t="s">
        <v>6672</v>
      </c>
      <c r="OJ5" s="203" t="s">
        <v>6673</v>
      </c>
      <c r="OK5" s="203" t="s">
        <v>6674</v>
      </c>
      <c r="OL5" s="203" t="s">
        <v>6675</v>
      </c>
      <c r="OM5" s="203" t="s">
        <v>6676</v>
      </c>
      <c r="ON5" s="203" t="s">
        <v>6677</v>
      </c>
      <c r="OO5" s="203" t="s">
        <v>6678</v>
      </c>
      <c r="OP5" s="203" t="s">
        <v>6679</v>
      </c>
      <c r="OQ5" s="203" t="s">
        <v>6680</v>
      </c>
      <c r="OR5" s="203" t="s">
        <v>6681</v>
      </c>
      <c r="OS5" s="203" t="s">
        <v>6682</v>
      </c>
      <c r="OT5" s="203" t="s">
        <v>6683</v>
      </c>
      <c r="OU5" s="203" t="s">
        <v>6684</v>
      </c>
      <c r="OV5" s="203" t="s">
        <v>6685</v>
      </c>
      <c r="OW5" s="203" t="s">
        <v>6686</v>
      </c>
      <c r="OX5" s="203" t="s">
        <v>6688</v>
      </c>
      <c r="OY5" s="203" t="s">
        <v>6689</v>
      </c>
      <c r="OZ5" s="203" t="s">
        <v>6690</v>
      </c>
      <c r="PA5" s="203" t="s">
        <v>6691</v>
      </c>
      <c r="PB5" s="203" t="s">
        <v>6692</v>
      </c>
      <c r="PC5" s="203" t="s">
        <v>6693</v>
      </c>
      <c r="PD5" s="203" t="s">
        <v>6694</v>
      </c>
      <c r="PE5" s="203" t="s">
        <v>6695</v>
      </c>
      <c r="PF5" s="203" t="s">
        <v>6696</v>
      </c>
      <c r="PG5" s="288" t="s">
        <v>7109</v>
      </c>
      <c r="PH5" s="288" t="s">
        <v>7110</v>
      </c>
      <c r="PI5" s="288" t="s">
        <v>7111</v>
      </c>
      <c r="PJ5" s="288" t="s">
        <v>7112</v>
      </c>
      <c r="PK5" s="288" t="s">
        <v>7113</v>
      </c>
      <c r="PL5" s="288" t="s">
        <v>7114</v>
      </c>
      <c r="PM5" s="288" t="s">
        <v>7115</v>
      </c>
      <c r="PN5" s="288" t="s">
        <v>7116</v>
      </c>
      <c r="PO5" s="288" t="s">
        <v>7117</v>
      </c>
      <c r="PP5" s="288" t="s">
        <v>7118</v>
      </c>
      <c r="PQ5" s="288" t="s">
        <v>7119</v>
      </c>
      <c r="PR5" s="288" t="s">
        <v>7120</v>
      </c>
      <c r="PS5" s="288" t="s">
        <v>7121</v>
      </c>
      <c r="PT5" s="288" t="s">
        <v>7122</v>
      </c>
      <c r="PU5" s="288" t="s">
        <v>7123</v>
      </c>
      <c r="PV5" s="288" t="s">
        <v>7124</v>
      </c>
      <c r="PW5" s="288" t="s">
        <v>7125</v>
      </c>
      <c r="PX5" s="288" t="s">
        <v>7126</v>
      </c>
      <c r="PY5" s="288" t="s">
        <v>7127</v>
      </c>
      <c r="PZ5" s="288" t="s">
        <v>7128</v>
      </c>
      <c r="QA5" s="288" t="s">
        <v>7129</v>
      </c>
      <c r="QB5" s="203" t="s">
        <v>7130</v>
      </c>
      <c r="QC5" s="203" t="s">
        <v>7131</v>
      </c>
      <c r="QD5" s="203" t="s">
        <v>7132</v>
      </c>
      <c r="QE5" s="203" t="s">
        <v>7133</v>
      </c>
      <c r="QF5" s="203" t="s">
        <v>7134</v>
      </c>
      <c r="QG5" s="203" t="s">
        <v>7135</v>
      </c>
      <c r="QH5" s="203" t="s">
        <v>7136</v>
      </c>
      <c r="QI5" s="203" t="s">
        <v>7137</v>
      </c>
      <c r="QJ5" s="203" t="s">
        <v>7138</v>
      </c>
      <c r="QK5" s="203" t="s">
        <v>7139</v>
      </c>
      <c r="QL5" s="203" t="s">
        <v>7140</v>
      </c>
      <c r="QM5" s="203" t="s">
        <v>7141</v>
      </c>
      <c r="QN5" s="203" t="s">
        <v>7142</v>
      </c>
      <c r="QO5" s="203" t="s">
        <v>7143</v>
      </c>
      <c r="QP5" s="203" t="s">
        <v>7144</v>
      </c>
      <c r="QQ5" s="203" t="s">
        <v>7145</v>
      </c>
      <c r="QR5" s="203" t="s">
        <v>7146</v>
      </c>
      <c r="QS5" s="203" t="s">
        <v>7147</v>
      </c>
      <c r="QT5" s="203" t="s">
        <v>7148</v>
      </c>
      <c r="QU5" s="203" t="s">
        <v>7149</v>
      </c>
      <c r="QV5" s="203" t="s">
        <v>7150</v>
      </c>
      <c r="QW5" s="203" t="s">
        <v>7151</v>
      </c>
      <c r="QX5" s="203" t="s">
        <v>7152</v>
      </c>
      <c r="QY5" s="203" t="s">
        <v>7153</v>
      </c>
      <c r="QZ5" s="203" t="s">
        <v>7154</v>
      </c>
      <c r="RA5" s="203" t="s">
        <v>7155</v>
      </c>
      <c r="RB5" s="203" t="s">
        <v>7156</v>
      </c>
      <c r="RC5" s="203" t="s">
        <v>7157</v>
      </c>
      <c r="RD5" s="203" t="s">
        <v>7158</v>
      </c>
      <c r="RE5" s="203" t="s">
        <v>7159</v>
      </c>
      <c r="RF5" s="203" t="s">
        <v>7160</v>
      </c>
      <c r="RG5" s="203" t="s">
        <v>7161</v>
      </c>
      <c r="RH5" s="203" t="s">
        <v>7162</v>
      </c>
      <c r="RI5" s="203" t="s">
        <v>7163</v>
      </c>
      <c r="RJ5" s="203" t="s">
        <v>7164</v>
      </c>
      <c r="RK5" s="203" t="s">
        <v>7165</v>
      </c>
      <c r="RL5" s="203" t="s">
        <v>7166</v>
      </c>
      <c r="RM5" s="203" t="s">
        <v>7167</v>
      </c>
      <c r="RN5" s="203" t="s">
        <v>7168</v>
      </c>
      <c r="RO5" s="203" t="s">
        <v>7169</v>
      </c>
      <c r="RP5" s="203" t="s">
        <v>7170</v>
      </c>
      <c r="RQ5" s="203" t="s">
        <v>7171</v>
      </c>
      <c r="RR5" s="203" t="s">
        <v>7172</v>
      </c>
      <c r="RS5" s="203" t="s">
        <v>7173</v>
      </c>
      <c r="RT5" s="203" t="s">
        <v>7174</v>
      </c>
      <c r="RU5" s="203" t="s">
        <v>7175</v>
      </c>
      <c r="RV5" s="203" t="s">
        <v>7176</v>
      </c>
      <c r="RW5" s="203" t="s">
        <v>7177</v>
      </c>
      <c r="RX5" s="203" t="s">
        <v>7178</v>
      </c>
      <c r="RY5" s="203" t="s">
        <v>7179</v>
      </c>
      <c r="RZ5" s="203" t="s">
        <v>7180</v>
      </c>
      <c r="SA5" s="203" t="s">
        <v>7181</v>
      </c>
      <c r="SB5" s="203" t="s">
        <v>7182</v>
      </c>
      <c r="SC5" s="203" t="s">
        <v>7183</v>
      </c>
      <c r="SD5" s="203" t="s">
        <v>7184</v>
      </c>
      <c r="SE5" s="203" t="s">
        <v>7185</v>
      </c>
      <c r="SF5" s="203" t="s">
        <v>7186</v>
      </c>
      <c r="SG5" s="203" t="s">
        <v>7187</v>
      </c>
      <c r="SH5" s="203" t="s">
        <v>7188</v>
      </c>
      <c r="SI5" s="203" t="s">
        <v>7189</v>
      </c>
      <c r="SJ5" s="203" t="s">
        <v>7190</v>
      </c>
      <c r="SK5" s="203" t="s">
        <v>7191</v>
      </c>
      <c r="SL5" s="203" t="s">
        <v>7192</v>
      </c>
      <c r="SM5" s="203" t="s">
        <v>7193</v>
      </c>
      <c r="SN5" s="203" t="s">
        <v>7194</v>
      </c>
      <c r="SO5" s="203" t="s">
        <v>7195</v>
      </c>
      <c r="SP5" s="203" t="s">
        <v>7196</v>
      </c>
      <c r="SQ5" s="203" t="s">
        <v>7197</v>
      </c>
      <c r="SR5" s="203" t="s">
        <v>7198</v>
      </c>
      <c r="SS5" s="203" t="s">
        <v>7199</v>
      </c>
      <c r="ST5" s="203" t="s">
        <v>7200</v>
      </c>
      <c r="SU5" s="203" t="s">
        <v>7201</v>
      </c>
      <c r="SV5" s="203" t="s">
        <v>7202</v>
      </c>
      <c r="SW5" s="203" t="s">
        <v>7203</v>
      </c>
      <c r="SX5" s="203" t="s">
        <v>7204</v>
      </c>
      <c r="SY5" s="203" t="s">
        <v>7205</v>
      </c>
      <c r="SZ5" s="203" t="s">
        <v>7206</v>
      </c>
      <c r="TA5" s="203" t="s">
        <v>7207</v>
      </c>
      <c r="TB5" s="203" t="s">
        <v>7208</v>
      </c>
      <c r="TC5" s="203" t="s">
        <v>7209</v>
      </c>
      <c r="TD5" s="203" t="s">
        <v>7210</v>
      </c>
      <c r="TE5" s="203" t="s">
        <v>7211</v>
      </c>
      <c r="TF5" s="203" t="s">
        <v>7212</v>
      </c>
      <c r="TG5" s="203" t="s">
        <v>7213</v>
      </c>
      <c r="TH5" s="203" t="s">
        <v>7214</v>
      </c>
      <c r="TI5" s="203" t="s">
        <v>7215</v>
      </c>
      <c r="TJ5" s="203" t="s">
        <v>7216</v>
      </c>
      <c r="TK5" s="203" t="s">
        <v>7217</v>
      </c>
      <c r="TL5" s="203" t="s">
        <v>7218</v>
      </c>
      <c r="TM5" s="203" t="s">
        <v>7219</v>
      </c>
      <c r="TN5" s="203" t="s">
        <v>7220</v>
      </c>
      <c r="TO5" s="203" t="s">
        <v>7221</v>
      </c>
      <c r="TP5" s="203" t="s">
        <v>7222</v>
      </c>
      <c r="TQ5" s="203" t="s">
        <v>7223</v>
      </c>
      <c r="TR5" s="203" t="s">
        <v>7224</v>
      </c>
      <c r="TS5" s="203" t="s">
        <v>7225</v>
      </c>
      <c r="TT5" s="203" t="s">
        <v>7226</v>
      </c>
      <c r="TU5" s="203" t="s">
        <v>7227</v>
      </c>
      <c r="TV5" s="203" t="s">
        <v>7228</v>
      </c>
      <c r="TW5" s="203" t="s">
        <v>7229</v>
      </c>
      <c r="TX5" s="203" t="s">
        <v>7230</v>
      </c>
      <c r="TY5" s="203" t="s">
        <v>7231</v>
      </c>
      <c r="TZ5" s="203" t="s">
        <v>7232</v>
      </c>
      <c r="UA5" s="203" t="s">
        <v>7233</v>
      </c>
      <c r="UB5" s="203" t="s">
        <v>7234</v>
      </c>
      <c r="UC5" s="203" t="s">
        <v>7235</v>
      </c>
      <c r="UD5" s="203" t="s">
        <v>7236</v>
      </c>
      <c r="UE5" s="203" t="s">
        <v>7237</v>
      </c>
      <c r="UF5" s="203" t="s">
        <v>7238</v>
      </c>
      <c r="UG5" s="203" t="s">
        <v>7239</v>
      </c>
      <c r="UH5" s="203" t="s">
        <v>7240</v>
      </c>
      <c r="UI5" s="203" t="s">
        <v>7241</v>
      </c>
      <c r="UJ5" s="203" t="s">
        <v>7242</v>
      </c>
      <c r="UK5" s="203" t="s">
        <v>7243</v>
      </c>
      <c r="UL5" s="203" t="s">
        <v>7244</v>
      </c>
      <c r="UM5" s="203" t="s">
        <v>7245</v>
      </c>
      <c r="UN5" s="203" t="s">
        <v>7246</v>
      </c>
      <c r="UO5" s="203" t="s">
        <v>7247</v>
      </c>
      <c r="UP5" s="203" t="s">
        <v>7248</v>
      </c>
      <c r="UQ5" s="203" t="s">
        <v>7249</v>
      </c>
      <c r="UR5" s="203" t="s">
        <v>7250</v>
      </c>
      <c r="US5" s="203" t="s">
        <v>7251</v>
      </c>
      <c r="UT5" s="203" t="s">
        <v>7252</v>
      </c>
      <c r="UU5" s="203" t="s">
        <v>7253</v>
      </c>
      <c r="UV5" s="203" t="s">
        <v>7254</v>
      </c>
      <c r="UW5" s="203" t="s">
        <v>7255</v>
      </c>
      <c r="UX5" s="203" t="s">
        <v>7256</v>
      </c>
      <c r="UY5" s="203" t="s">
        <v>7257</v>
      </c>
      <c r="UZ5" s="203" t="s">
        <v>7258</v>
      </c>
      <c r="VA5" s="203" t="s">
        <v>7259</v>
      </c>
      <c r="VB5" s="203" t="s">
        <v>7260</v>
      </c>
      <c r="VC5" s="203" t="s">
        <v>7261</v>
      </c>
      <c r="VD5" s="203" t="s">
        <v>7262</v>
      </c>
      <c r="VE5" s="203" t="s">
        <v>7263</v>
      </c>
      <c r="VF5" s="203" t="s">
        <v>7264</v>
      </c>
      <c r="VG5" s="203" t="s">
        <v>7265</v>
      </c>
      <c r="VH5" s="203" t="s">
        <v>7266</v>
      </c>
      <c r="VI5" s="203" t="s">
        <v>7267</v>
      </c>
      <c r="VJ5" s="203" t="s">
        <v>7268</v>
      </c>
      <c r="VK5" s="203" t="s">
        <v>7269</v>
      </c>
      <c r="VL5" s="203" t="s">
        <v>7270</v>
      </c>
      <c r="VM5" s="203" t="s">
        <v>7271</v>
      </c>
      <c r="VN5" s="203" t="s">
        <v>7272</v>
      </c>
      <c r="VO5" s="203" t="s">
        <v>7273</v>
      </c>
    </row>
    <row r="6" spans="1:587" s="277" customFormat="1">
      <c r="A6"/>
      <c r="B6" s="203">
        <f>'General 0'!C8</f>
        <v>0</v>
      </c>
      <c r="C6" s="203">
        <f>'General 0'!C9</f>
        <v>0</v>
      </c>
      <c r="D6" s="203">
        <f>'General 0'!C10</f>
        <v>0</v>
      </c>
      <c r="E6" s="203">
        <f>'General 0'!C11</f>
        <v>0</v>
      </c>
      <c r="F6" s="203">
        <f>'General 0'!C12</f>
        <v>0</v>
      </c>
      <c r="G6" s="203">
        <f>'General 0'!C13</f>
        <v>0</v>
      </c>
      <c r="H6" s="203">
        <f>'General 0'!C4</f>
        <v>0</v>
      </c>
      <c r="I6" s="203">
        <f>'General 0'!C5</f>
        <v>0</v>
      </c>
      <c r="J6" s="203">
        <f>'General 0'!C6</f>
        <v>0</v>
      </c>
      <c r="K6" s="303">
        <f>'General 0'!C7</f>
        <v>0</v>
      </c>
      <c r="L6" s="203">
        <f>'General 0'!C16</f>
        <v>0</v>
      </c>
      <c r="M6" s="203">
        <f>'General 0'!C17</f>
        <v>0</v>
      </c>
      <c r="N6" s="203">
        <f>'General 0'!C18</f>
        <v>0</v>
      </c>
      <c r="O6" s="203">
        <f>'General 0'!C31</f>
        <v>0</v>
      </c>
      <c r="P6" s="203">
        <f>'General 0'!C36</f>
        <v>0</v>
      </c>
      <c r="Q6" s="203">
        <f>'General 0'!C44</f>
        <v>0</v>
      </c>
      <c r="R6" s="203">
        <f>'General 0'!C50</f>
        <v>0</v>
      </c>
      <c r="S6" s="203">
        <f>'General 0'!C56</f>
        <v>0</v>
      </c>
      <c r="T6" s="310">
        <f>'General 0'!D88</f>
        <v>0</v>
      </c>
      <c r="U6" s="310">
        <f>'General 0'!D89</f>
        <v>0</v>
      </c>
      <c r="V6" s="310">
        <f>'General 0'!D90</f>
        <v>0</v>
      </c>
      <c r="W6" s="310">
        <f>'General 0'!D91</f>
        <v>0</v>
      </c>
      <c r="X6" s="310">
        <f>'General 0'!D92</f>
        <v>0</v>
      </c>
      <c r="Y6" s="310">
        <f>'General 0'!D96</f>
        <v>0</v>
      </c>
      <c r="Z6" s="310">
        <f>'General 0'!D97</f>
        <v>0</v>
      </c>
      <c r="AA6" s="310">
        <f>'General 0'!D98</f>
        <v>0</v>
      </c>
      <c r="AB6" s="310">
        <f>'General 0'!D99</f>
        <v>0</v>
      </c>
      <c r="AC6" s="310">
        <f>'General 0'!D103</f>
        <v>0</v>
      </c>
      <c r="AD6" s="310">
        <f>'General 0'!D104</f>
        <v>0</v>
      </c>
      <c r="AE6" s="310">
        <f>'General 0'!D105</f>
        <v>0</v>
      </c>
      <c r="AF6" s="310">
        <f>'General 0'!D106</f>
        <v>0</v>
      </c>
      <c r="AG6" s="310">
        <f>'General 0'!D107</f>
        <v>0</v>
      </c>
      <c r="AH6" s="310">
        <f>'General 0'!D108</f>
        <v>0</v>
      </c>
      <c r="AI6" s="310">
        <f>'General 0'!D112</f>
        <v>0</v>
      </c>
      <c r="AJ6" s="310">
        <f>'General 0'!D113</f>
        <v>0</v>
      </c>
      <c r="AK6" s="310">
        <f>'General 0'!D114</f>
        <v>0</v>
      </c>
      <c r="AL6" s="310">
        <f>'General 0'!D115</f>
        <v>0</v>
      </c>
      <c r="AM6" s="310">
        <f>'General 0'!D116</f>
        <v>0</v>
      </c>
      <c r="AN6" s="310">
        <f>'General 0'!D117</f>
        <v>0</v>
      </c>
      <c r="AO6" s="203">
        <f>'General 0'!C144</f>
        <v>0</v>
      </c>
      <c r="AP6" s="203">
        <f>'General 0'!C145</f>
        <v>0</v>
      </c>
      <c r="AQ6" s="203">
        <f>'General 0'!C147</f>
        <v>0</v>
      </c>
      <c r="AR6" s="203">
        <f>'General 0'!C149</f>
        <v>0</v>
      </c>
      <c r="AS6" s="203">
        <f>'General 0'!C150</f>
        <v>0</v>
      </c>
      <c r="AT6" s="203">
        <f>'General 0'!C152</f>
        <v>0</v>
      </c>
      <c r="AU6" s="203">
        <f>'General 0'!C156</f>
        <v>0</v>
      </c>
      <c r="AV6" s="203">
        <f>'General 0'!C157</f>
        <v>0</v>
      </c>
      <c r="AW6" s="203">
        <f>'General 0'!C158</f>
        <v>0</v>
      </c>
      <c r="AX6" s="203">
        <f>'General 0'!C159</f>
        <v>0</v>
      </c>
      <c r="AY6" s="203">
        <f>'General 0'!C160</f>
        <v>0</v>
      </c>
      <c r="AZ6" s="203">
        <f>'General 0'!C161</f>
        <v>0</v>
      </c>
      <c r="BA6" s="203">
        <f>'General 0'!C162</f>
        <v>0</v>
      </c>
      <c r="BB6" s="312">
        <f>Summary!C11</f>
        <v>0</v>
      </c>
      <c r="BC6" s="310">
        <f>Summary!C12</f>
        <v>0</v>
      </c>
      <c r="BD6" s="310">
        <f>Summary!C13</f>
        <v>0</v>
      </c>
      <c r="BE6" s="310">
        <f>'General 0'!C66</f>
        <v>0</v>
      </c>
      <c r="BF6" s="310">
        <f>'General 0'!C67</f>
        <v>0</v>
      </c>
      <c r="BG6" s="310">
        <f>'General 0'!C68</f>
        <v>0</v>
      </c>
      <c r="BH6" s="310">
        <f>'General 0'!C69</f>
        <v>0</v>
      </c>
      <c r="BI6" s="310">
        <f>'General 0'!C70</f>
        <v>0</v>
      </c>
      <c r="BJ6" s="310">
        <f>Summary!C14</f>
        <v>0</v>
      </c>
      <c r="BK6" s="310">
        <f>Summary!C15</f>
        <v>0</v>
      </c>
      <c r="BL6" s="310">
        <f>Summary!C16</f>
        <v>0</v>
      </c>
      <c r="BM6" s="310">
        <f>Summary!C17</f>
        <v>0</v>
      </c>
      <c r="BN6" s="310">
        <f>Summary!C18</f>
        <v>0</v>
      </c>
      <c r="BO6" s="310">
        <f>Summary!C19</f>
        <v>0</v>
      </c>
      <c r="BP6" s="310">
        <f>Summary!C20</f>
        <v>0</v>
      </c>
      <c r="BQ6" s="310">
        <f>Summary!C21</f>
        <v>0</v>
      </c>
      <c r="BR6" s="310">
        <f>Summary!C22</f>
        <v>0</v>
      </c>
      <c r="BS6" s="310">
        <f>Summary!C23</f>
        <v>0</v>
      </c>
      <c r="BT6" s="310">
        <f>Summary!C24</f>
        <v>0</v>
      </c>
      <c r="BU6" s="310">
        <f>Summary!C25</f>
        <v>0</v>
      </c>
      <c r="BV6" s="310">
        <f>Summary!C26</f>
        <v>0</v>
      </c>
      <c r="BW6" s="310">
        <f>Summary!C29</f>
        <v>0</v>
      </c>
      <c r="BX6" s="310">
        <f>Summary!C30</f>
        <v>0</v>
      </c>
      <c r="BY6" s="310">
        <f>Summary!C31</f>
        <v>0</v>
      </c>
      <c r="BZ6" s="310">
        <f>Summary!C32</f>
        <v>0</v>
      </c>
      <c r="CA6" s="310">
        <f>Summary!C33</f>
        <v>0</v>
      </c>
      <c r="CB6" s="310">
        <f>Summary!C34</f>
        <v>0</v>
      </c>
      <c r="CC6" s="314" t="str">
        <f>Summary!D186</f>
        <v>???</v>
      </c>
      <c r="CD6" s="314" t="str">
        <f>Summary!D187</f>
        <v>???</v>
      </c>
      <c r="CE6" s="314" t="str">
        <f>Summary!D188</f>
        <v>???</v>
      </c>
      <c r="CF6" s="314" t="str">
        <f>Summary!D189</f>
        <v>???</v>
      </c>
      <c r="CG6" s="314" t="str">
        <f>Summary!D190</f>
        <v>???</v>
      </c>
      <c r="CH6" s="314" t="str">
        <f>Summary!D191</f>
        <v>???</v>
      </c>
      <c r="CI6" s="314" t="str">
        <f>Summary!D192</f>
        <v>???</v>
      </c>
      <c r="CJ6" s="314" t="str">
        <f>Summary!D193</f>
        <v>???</v>
      </c>
      <c r="CK6" s="314" t="str">
        <f>Summary!D194</f>
        <v>???</v>
      </c>
      <c r="CL6" s="314" t="str">
        <f>Summary!D195</f>
        <v>???</v>
      </c>
      <c r="CM6" s="314" t="str">
        <f>Summary!D196</f>
        <v>???</v>
      </c>
      <c r="CN6" s="314" t="str">
        <f>Summary!D197</f>
        <v>???</v>
      </c>
      <c r="CO6" s="314" t="str">
        <f>Summary!D198</f>
        <v>???</v>
      </c>
      <c r="CP6" s="314" t="str">
        <f>Summary!D199</f>
        <v>???</v>
      </c>
      <c r="CQ6" s="314" t="str">
        <f>Summary!D200</f>
        <v>???</v>
      </c>
      <c r="CR6" s="314" t="str">
        <f>Summary!D201</f>
        <v>???</v>
      </c>
      <c r="CS6" s="314" t="str">
        <f>Summary!D202</f>
        <v>???</v>
      </c>
      <c r="CT6" s="314" t="str">
        <f>Summary!D203</f>
        <v>???</v>
      </c>
      <c r="CU6" s="314" t="str">
        <f>Summary!D204</f>
        <v>???</v>
      </c>
      <c r="CV6" s="314" t="str">
        <f>Summary!D205</f>
        <v>???</v>
      </c>
      <c r="CW6" s="314" t="str">
        <f>Summary!D206</f>
        <v>???</v>
      </c>
      <c r="CX6" s="314" t="str">
        <f>Summary!D207</f>
        <v>???</v>
      </c>
      <c r="CY6" s="314" t="str">
        <f>Summary!D208</f>
        <v>???</v>
      </c>
      <c r="CZ6" s="314" t="str">
        <f>Summary!D209</f>
        <v>???</v>
      </c>
      <c r="DA6" s="314" t="str">
        <f>Summary!D210</f>
        <v>???</v>
      </c>
      <c r="DB6" s="314" t="str">
        <f>Summary!E186</f>
        <v>???</v>
      </c>
      <c r="DC6" s="314" t="str">
        <f>Summary!E187</f>
        <v>???</v>
      </c>
      <c r="DD6" s="314" t="str">
        <f>Summary!E188</f>
        <v>???</v>
      </c>
      <c r="DE6" s="314" t="str">
        <f>Summary!E189</f>
        <v>???</v>
      </c>
      <c r="DF6" s="314" t="str">
        <f>Summary!E190</f>
        <v>???</v>
      </c>
      <c r="DG6" s="314" t="str">
        <f>Summary!E191</f>
        <v>???</v>
      </c>
      <c r="DH6" s="314" t="str">
        <f>Summary!E192</f>
        <v>???</v>
      </c>
      <c r="DI6" s="314" t="str">
        <f>Summary!E193</f>
        <v>???</v>
      </c>
      <c r="DJ6" s="314" t="str">
        <f>Summary!E194</f>
        <v>???</v>
      </c>
      <c r="DK6" s="314" t="str">
        <f>Summary!E195</f>
        <v>???</v>
      </c>
      <c r="DL6" s="314" t="str">
        <f>Summary!E196</f>
        <v>???</v>
      </c>
      <c r="DM6" s="314" t="str">
        <f>Summary!E197</f>
        <v>???</v>
      </c>
      <c r="DN6" s="314" t="str">
        <f>Summary!E198</f>
        <v>???</v>
      </c>
      <c r="DO6" s="314" t="str">
        <f>Summary!E199</f>
        <v>???</v>
      </c>
      <c r="DP6" s="314" t="str">
        <f>Summary!E200</f>
        <v>???</v>
      </c>
      <c r="DQ6" s="314" t="str">
        <f>Summary!E201</f>
        <v>???</v>
      </c>
      <c r="DR6" s="314" t="str">
        <f>Summary!E202</f>
        <v>???</v>
      </c>
      <c r="DS6" s="314" t="str">
        <f>Summary!E203</f>
        <v>???</v>
      </c>
      <c r="DT6" s="314" t="str">
        <f>Summary!E204</f>
        <v>???</v>
      </c>
      <c r="DU6" s="314" t="str">
        <f>Summary!E205</f>
        <v>???</v>
      </c>
      <c r="DV6" s="314" t="str">
        <f>Summary!E206</f>
        <v>???</v>
      </c>
      <c r="DW6" s="314" t="str">
        <f>Summary!E207</f>
        <v>???</v>
      </c>
      <c r="DX6" s="314" t="str">
        <f>Summary!E208</f>
        <v>???</v>
      </c>
      <c r="DY6" s="314" t="str">
        <f>Summary!E209</f>
        <v>???</v>
      </c>
      <c r="DZ6" s="314" t="str">
        <f>Summary!E210</f>
        <v>???</v>
      </c>
      <c r="EA6" s="203">
        <f>'General 0'!D121</f>
        <v>0</v>
      </c>
      <c r="EB6" s="203">
        <f>'General 0'!D122</f>
        <v>0</v>
      </c>
      <c r="EC6" s="203">
        <f>'General 0'!D123</f>
        <v>0</v>
      </c>
      <c r="ED6" s="203">
        <f>'General 0'!D124</f>
        <v>0</v>
      </c>
      <c r="EE6" s="203">
        <f>'General 0'!D125</f>
        <v>0</v>
      </c>
      <c r="EF6" s="203">
        <f>'General 0'!D126</f>
        <v>0</v>
      </c>
      <c r="EG6" s="203">
        <f>'General 0'!D127</f>
        <v>0</v>
      </c>
      <c r="EH6" s="203">
        <f>'General 0'!D128</f>
        <v>0</v>
      </c>
      <c r="EI6" s="203">
        <f>'General 0'!D129</f>
        <v>0</v>
      </c>
      <c r="EJ6" s="203">
        <f>'General 0'!D130</f>
        <v>0</v>
      </c>
      <c r="EK6" s="203">
        <f>'General 0'!D131</f>
        <v>0</v>
      </c>
      <c r="EL6" s="300" t="e">
        <f>Summary!C37</f>
        <v>#DIV/0!</v>
      </c>
      <c r="EM6" s="288" t="e">
        <f>Summary!C38</f>
        <v>#DIV/0!</v>
      </c>
      <c r="EN6" s="288">
        <f>Summary!C214</f>
        <v>0</v>
      </c>
      <c r="EO6" s="288">
        <f>Summary!C215</f>
        <v>0</v>
      </c>
      <c r="EP6" s="288">
        <f>Summary!C216</f>
        <v>0</v>
      </c>
      <c r="EQ6" s="288" t="str">
        <f>Summary!C217</f>
        <v>na</v>
      </c>
      <c r="ER6" s="288">
        <f>Summary!C218</f>
        <v>0</v>
      </c>
      <c r="ES6" s="288">
        <f>Summary!C219</f>
        <v>0</v>
      </c>
      <c r="ET6" s="288">
        <f>Summary!C220</f>
        <v>0</v>
      </c>
      <c r="EU6" s="288">
        <f>Summary!C221</f>
        <v>0</v>
      </c>
      <c r="EV6" s="288">
        <f>Summary!C222</f>
        <v>0</v>
      </c>
      <c r="EW6" s="288">
        <f>Summary!C223</f>
        <v>0</v>
      </c>
      <c r="EX6" s="288">
        <f>Summary!C224</f>
        <v>0</v>
      </c>
      <c r="EY6" s="288">
        <f>Summary!C225</f>
        <v>0</v>
      </c>
      <c r="EZ6" s="288">
        <f>Summary!C226</f>
        <v>0</v>
      </c>
      <c r="FA6" s="288">
        <f>Summary!C227</f>
        <v>0</v>
      </c>
      <c r="FB6" s="288">
        <f>Summary!C228</f>
        <v>0</v>
      </c>
      <c r="FC6" s="288">
        <f>Summary!C229</f>
        <v>0</v>
      </c>
      <c r="FD6" s="288" t="str">
        <f>Summary!C230</f>
        <v>na</v>
      </c>
      <c r="FE6" s="288">
        <f>Summary!C231</f>
        <v>0</v>
      </c>
      <c r="FF6" s="288">
        <f>Summary!C232</f>
        <v>0</v>
      </c>
      <c r="FG6" s="288">
        <f>Summary!C233</f>
        <v>0</v>
      </c>
      <c r="FH6" s="288">
        <f>Summary!C234</f>
        <v>0</v>
      </c>
      <c r="FI6" s="288">
        <f>Summary!C236</f>
        <v>0</v>
      </c>
      <c r="FJ6" s="288">
        <f>Summary!C237</f>
        <v>0</v>
      </c>
      <c r="FK6" s="288">
        <f>Summary!C238</f>
        <v>0</v>
      </c>
      <c r="FL6" s="288">
        <f>Summary!C239</f>
        <v>0</v>
      </c>
      <c r="FM6" s="288">
        <f>Summary!C240</f>
        <v>0</v>
      </c>
      <c r="FN6" s="288">
        <f>Summary!C241</f>
        <v>0</v>
      </c>
      <c r="FO6" s="288">
        <f>Summary!C243</f>
        <v>0</v>
      </c>
      <c r="FP6" s="288">
        <f>Summary!C244</f>
        <v>0</v>
      </c>
      <c r="FQ6" s="288">
        <f>Summary!C245</f>
        <v>0</v>
      </c>
      <c r="FR6" s="288">
        <f>Summary!C246</f>
        <v>0</v>
      </c>
      <c r="FS6" s="288">
        <f>Summary!C247</f>
        <v>0</v>
      </c>
      <c r="FT6" s="203">
        <f>Flags!E116</f>
        <v>0</v>
      </c>
      <c r="FU6" s="203">
        <f>Flags!E130</f>
        <v>0</v>
      </c>
      <c r="FV6" s="203">
        <f>Flags!E159</f>
        <v>0</v>
      </c>
      <c r="FW6" s="110" t="str">
        <f>Summary!C47</f>
        <v>???</v>
      </c>
      <c r="FX6" s="110" t="str">
        <f>Summary!C48</f>
        <v>???</v>
      </c>
      <c r="FY6" s="110" t="str">
        <f>Summary!C49</f>
        <v>???</v>
      </c>
      <c r="FZ6" s="110" t="str">
        <f>Summary!C50</f>
        <v>???</v>
      </c>
      <c r="GA6" s="110" t="str">
        <f>Summary!C51</f>
        <v>???</v>
      </c>
      <c r="GB6" s="110" t="str">
        <f>Summary!C52</f>
        <v>???</v>
      </c>
      <c r="GC6" s="110" t="str">
        <f>Summary!C53</f>
        <v>???</v>
      </c>
      <c r="GD6" s="110" t="str">
        <f>Summary!C54</f>
        <v>???</v>
      </c>
      <c r="GE6" s="110" t="str">
        <f>Summary!C55</f>
        <v>???</v>
      </c>
      <c r="GF6" s="110" t="str">
        <f>Summary!C56</f>
        <v>???</v>
      </c>
      <c r="GG6" s="110" t="str">
        <f>Summary!C57</f>
        <v>???</v>
      </c>
      <c r="GH6" s="110" t="str">
        <f>Summary!C58</f>
        <v>???</v>
      </c>
      <c r="GI6" s="110" t="str">
        <f>Summary!C59</f>
        <v>???</v>
      </c>
      <c r="GJ6" s="110" t="str">
        <f>Summary!C60</f>
        <v>???</v>
      </c>
      <c r="GK6" s="110" t="str">
        <f>Summary!C61</f>
        <v>???</v>
      </c>
      <c r="GL6" s="110" t="str">
        <f>Summary!C64</f>
        <v>???</v>
      </c>
      <c r="GM6" s="110" t="str">
        <f>Summary!C65</f>
        <v>???</v>
      </c>
      <c r="GN6" s="110" t="str">
        <f>Summary!C66</f>
        <v>???</v>
      </c>
      <c r="GO6" s="110" t="str">
        <f>Summary!C67</f>
        <v>???</v>
      </c>
      <c r="GP6" s="110" t="str">
        <f>Summary!C68</f>
        <v>???</v>
      </c>
      <c r="GQ6" s="110" t="str">
        <f>Summary!C69</f>
        <v>???</v>
      </c>
      <c r="GR6" s="110" t="e">
        <f>Summary!C70</f>
        <v>#DIV/0!</v>
      </c>
      <c r="GS6" s="110" t="e">
        <f>Summary!C71</f>
        <v>#DIV/0!</v>
      </c>
      <c r="GT6" s="110" t="str">
        <f>Summary!C72</f>
        <v>???</v>
      </c>
      <c r="GU6" s="110" t="str">
        <f>Summary!C73</f>
        <v>???</v>
      </c>
      <c r="GV6" s="110" t="str">
        <f>Summary!C74</f>
        <v>???</v>
      </c>
      <c r="GW6" s="110" t="str">
        <f>Summary!C77</f>
        <v>???</v>
      </c>
      <c r="GX6" s="110" t="str">
        <f>Summary!C78</f>
        <v>???</v>
      </c>
      <c r="GY6" s="110" t="str">
        <f>Summary!C79</f>
        <v>???</v>
      </c>
      <c r="GZ6" s="110" t="str">
        <f>Summary!C80</f>
        <v>???</v>
      </c>
      <c r="HA6" s="110" t="str">
        <f>Summary!C81</f>
        <v>???</v>
      </c>
      <c r="HB6" s="110" t="str">
        <f>Summary!C82</f>
        <v>???</v>
      </c>
      <c r="HC6" s="110" t="str">
        <f>Summary!C85</f>
        <v>???</v>
      </c>
      <c r="HD6" s="110" t="str">
        <f>Summary!C86</f>
        <v>???</v>
      </c>
      <c r="HE6" s="110" t="str">
        <f>Summary!C87</f>
        <v>???</v>
      </c>
      <c r="HF6" s="110" t="str">
        <f>Summary!C88</f>
        <v>???</v>
      </c>
      <c r="HG6" s="110" t="str">
        <f>Summary!C89</f>
        <v>???</v>
      </c>
      <c r="HH6" s="110" t="str">
        <f>Summary!C90</f>
        <v>???</v>
      </c>
      <c r="HI6" s="110" t="str">
        <f>Summary!C91</f>
        <v>???</v>
      </c>
      <c r="HJ6" s="110" t="str">
        <f>Summary!C94</f>
        <v>???</v>
      </c>
      <c r="HK6" s="110" t="str">
        <f>Summary!C95</f>
        <v>???</v>
      </c>
      <c r="HL6" s="110" t="str">
        <f>Summary!C96</f>
        <v>???</v>
      </c>
      <c r="HM6" s="110" t="str">
        <f>Summary!C97</f>
        <v>???</v>
      </c>
      <c r="HN6" s="110" t="str">
        <f>Summary!C100</f>
        <v>???</v>
      </c>
      <c r="HO6" s="110" t="str">
        <f>Summary!C101</f>
        <v>???</v>
      </c>
      <c r="HP6" s="110" t="str">
        <f>Summary!C102</f>
        <v>???</v>
      </c>
      <c r="HQ6" s="110" t="str">
        <f>Summary!C103</f>
        <v>???</v>
      </c>
      <c r="HR6" s="110" t="str">
        <f>Summary!C104</f>
        <v>???</v>
      </c>
      <c r="HS6" s="110" t="str">
        <f>Summary!C105</f>
        <v>???</v>
      </c>
      <c r="HT6" s="110" t="str">
        <f>Summary!C108</f>
        <v>???</v>
      </c>
      <c r="HU6" s="110" t="str">
        <f>Summary!C109</f>
        <v>???</v>
      </c>
      <c r="HV6" s="110" t="str">
        <f>Summary!C110</f>
        <v>???</v>
      </c>
      <c r="HW6" s="110" t="str">
        <f>Summary!C111</f>
        <v>???</v>
      </c>
      <c r="HX6" s="110" t="str">
        <f>Summary!C112</f>
        <v>???</v>
      </c>
      <c r="HY6" s="110" t="str">
        <f>Summary!C113</f>
        <v>???</v>
      </c>
      <c r="HZ6" s="110" t="str">
        <f>Summary!C114</f>
        <v>???</v>
      </c>
      <c r="IA6" s="110" t="str">
        <f>Summary!C115</f>
        <v>???</v>
      </c>
      <c r="IB6" s="110" t="str">
        <f>Summary!C118</f>
        <v>???</v>
      </c>
      <c r="IC6" s="110" t="str">
        <f>Summary!C119</f>
        <v>???</v>
      </c>
      <c r="ID6" s="110" t="str">
        <f>Summary!C120</f>
        <v>???</v>
      </c>
      <c r="IE6" s="110" t="str">
        <f>Summary!C121</f>
        <v>???</v>
      </c>
      <c r="IF6" s="110" t="str">
        <f>Summary!C122</f>
        <v>???</v>
      </c>
      <c r="IG6" s="110" t="str">
        <f>Summary!C125</f>
        <v>???</v>
      </c>
      <c r="IH6" s="110" t="str">
        <f>Summary!C126</f>
        <v>???</v>
      </c>
      <c r="II6" s="110" t="str">
        <f>Summary!C127</f>
        <v>???</v>
      </c>
      <c r="IJ6" s="110" t="str">
        <f>Summary!C128</f>
        <v>???</v>
      </c>
      <c r="IK6" s="110" t="str">
        <f>Summary!C129</f>
        <v>???</v>
      </c>
      <c r="IL6" s="110" t="str">
        <f>Summary!C132</f>
        <v>???</v>
      </c>
      <c r="IM6" s="110" t="str">
        <f>Summary!C133</f>
        <v>???</v>
      </c>
      <c r="IN6" s="110" t="str">
        <f>Summary!C134</f>
        <v>???</v>
      </c>
      <c r="IO6" s="110" t="str">
        <f>Summary!C135</f>
        <v>???</v>
      </c>
      <c r="IP6" s="110" t="str">
        <f>Summary!C138</f>
        <v>???</v>
      </c>
      <c r="IQ6" s="110" t="str">
        <f>Summary!C139</f>
        <v>???</v>
      </c>
      <c r="IR6" s="110" t="str">
        <f>Summary!C140</f>
        <v>???</v>
      </c>
      <c r="IS6" s="110" t="str">
        <f>Summary!C141</f>
        <v>???</v>
      </c>
      <c r="IT6" s="110" t="str">
        <f>Summary!C142</f>
        <v>???</v>
      </c>
      <c r="IU6" s="110" t="str">
        <f>Summary!C143</f>
        <v>???</v>
      </c>
      <c r="IV6" s="110" t="str">
        <f>Summary!C144</f>
        <v>???</v>
      </c>
      <c r="IW6" s="110" t="str">
        <f>Summary!C145</f>
        <v>???</v>
      </c>
      <c r="IX6" s="110" t="str">
        <f>Summary!C146</f>
        <v>???</v>
      </c>
      <c r="IY6" s="110" t="str">
        <f>Summary!C147</f>
        <v>???</v>
      </c>
      <c r="IZ6" s="110" t="str">
        <f>Summary!C148</f>
        <v>???</v>
      </c>
      <c r="JA6" s="110" t="str">
        <f>Summary!C149</f>
        <v>???</v>
      </c>
      <c r="JB6" s="110" t="str">
        <f>Summary!C150</f>
        <v>???</v>
      </c>
      <c r="JC6" s="110" t="str">
        <f>Summary!C151</f>
        <v>???</v>
      </c>
      <c r="JD6" s="110" t="str">
        <f>Summary!C152</f>
        <v>???</v>
      </c>
      <c r="JE6" s="110" t="str">
        <f>Summary!C155</f>
        <v>???</v>
      </c>
      <c r="JF6" s="110" t="str">
        <f>Summary!C156</f>
        <v>???</v>
      </c>
      <c r="JG6" s="110" t="str">
        <f>Summary!C157</f>
        <v>???</v>
      </c>
      <c r="JH6" s="110" t="str">
        <f>Summary!C158</f>
        <v>???</v>
      </c>
      <c r="JI6" s="110" t="str">
        <f>Summary!C159</f>
        <v>???</v>
      </c>
      <c r="JJ6" s="110" t="str">
        <f>Summary!C160</f>
        <v>???</v>
      </c>
      <c r="JK6" s="110" t="str">
        <f>Summary!C163</f>
        <v>???</v>
      </c>
      <c r="JL6" s="110" t="str">
        <f>Summary!C164</f>
        <v>???</v>
      </c>
      <c r="JM6" s="110" t="str">
        <f>Summary!C165</f>
        <v>???</v>
      </c>
      <c r="JN6" s="110" t="str">
        <f>Summary!C166</f>
        <v>???</v>
      </c>
      <c r="JO6" s="110" t="str">
        <f>Summary!C167</f>
        <v>???</v>
      </c>
      <c r="JP6" s="110" t="str">
        <f>Summary!C168</f>
        <v>???</v>
      </c>
      <c r="JQ6" s="110" t="str">
        <f>Summary!C169</f>
        <v>???</v>
      </c>
      <c r="JR6" s="110" t="str">
        <f>Summary!C170</f>
        <v>???</v>
      </c>
      <c r="JS6" s="110" t="str">
        <f>Summary!C171</f>
        <v>???</v>
      </c>
      <c r="JT6" s="110" t="str">
        <f>Summary!C172</f>
        <v>???</v>
      </c>
      <c r="JU6" s="110" t="str">
        <f>Summary!C175</f>
        <v>???</v>
      </c>
      <c r="JV6" s="110" t="str">
        <f>Summary!C176</f>
        <v>???</v>
      </c>
      <c r="JW6" s="110" t="str">
        <f>Summary!C177</f>
        <v>???</v>
      </c>
      <c r="JX6" s="110" t="str">
        <f>Summary!C180</f>
        <v>???</v>
      </c>
      <c r="JY6" s="110" t="str">
        <f>Summary!C181</f>
        <v>???</v>
      </c>
      <c r="JZ6" s="110" t="str">
        <f>Summary!C182</f>
        <v>???</v>
      </c>
      <c r="KA6" s="110" t="str">
        <f>Summary!C183</f>
        <v>???</v>
      </c>
      <c r="KB6" s="203">
        <f>Flags!C5</f>
        <v>0</v>
      </c>
      <c r="KC6" s="203">
        <f>Flags!C7</f>
        <v>0</v>
      </c>
      <c r="KD6" s="203">
        <f>Flags!C8</f>
        <v>0</v>
      </c>
      <c r="KE6" s="203">
        <f>Flags!C9</f>
        <v>0</v>
      </c>
      <c r="KF6" s="203">
        <f>Flags!C10</f>
        <v>0</v>
      </c>
      <c r="KG6" s="203">
        <f>Flags!C11</f>
        <v>0</v>
      </c>
      <c r="KH6" s="203">
        <f>Flags!C12</f>
        <v>0</v>
      </c>
      <c r="KI6" s="203">
        <f>Flags!C13</f>
        <v>0</v>
      </c>
      <c r="KJ6" s="203">
        <f>Flags!C14</f>
        <v>0</v>
      </c>
      <c r="KK6" s="203">
        <f>Flags!C15</f>
        <v>0</v>
      </c>
      <c r="KL6" s="203">
        <f>Flags!C16</f>
        <v>0</v>
      </c>
      <c r="KM6" s="203">
        <f>Flags!C17</f>
        <v>0</v>
      </c>
      <c r="KN6" s="203">
        <f>Flags!C18</f>
        <v>0</v>
      </c>
      <c r="KO6" s="203">
        <f>Flags!C19</f>
        <v>0</v>
      </c>
      <c r="KP6" s="203">
        <f>Flags!C20</f>
        <v>0</v>
      </c>
      <c r="KQ6" s="203">
        <f>Flags!C21</f>
        <v>0</v>
      </c>
      <c r="KR6" s="203">
        <f>Flags!C22</f>
        <v>0</v>
      </c>
      <c r="KS6" s="203">
        <f>Flags!C23</f>
        <v>0</v>
      </c>
      <c r="KT6" s="203">
        <f>Flags!C24</f>
        <v>0</v>
      </c>
      <c r="KU6" s="203">
        <f>Flags!C25</f>
        <v>0</v>
      </c>
      <c r="KV6" s="203">
        <f>Flags!C26</f>
        <v>0</v>
      </c>
      <c r="KW6" s="203">
        <f>Flags!C27</f>
        <v>0</v>
      </c>
      <c r="KX6" s="203">
        <f>Flags!C28</f>
        <v>0</v>
      </c>
      <c r="KY6" s="203">
        <f>Flags!C29</f>
        <v>0</v>
      </c>
      <c r="KZ6" s="203">
        <f>Flags!C30</f>
        <v>0</v>
      </c>
      <c r="LA6" s="203">
        <f>Flags!C31</f>
        <v>0</v>
      </c>
      <c r="LB6" s="203">
        <f>Flags!C35</f>
        <v>0</v>
      </c>
      <c r="LC6" s="203">
        <f>Flags!C32</f>
        <v>0</v>
      </c>
      <c r="LD6" s="203">
        <f>Flags!C33</f>
        <v>0</v>
      </c>
      <c r="LE6" s="203">
        <f>Flags!C34</f>
        <v>0</v>
      </c>
      <c r="LF6" s="203">
        <f>Flags!C36</f>
        <v>0</v>
      </c>
      <c r="LG6" s="203">
        <f>Flags!C37</f>
        <v>0</v>
      </c>
      <c r="LH6" s="203">
        <f>Flags!C38</f>
        <v>0</v>
      </c>
      <c r="LI6" s="203">
        <f>Flags!C39</f>
        <v>0</v>
      </c>
      <c r="LJ6" s="203">
        <f>Flags!C40</f>
        <v>0</v>
      </c>
      <c r="LK6" s="203">
        <f>Flags!C41</f>
        <v>0</v>
      </c>
      <c r="LL6" s="203">
        <f>Flags!C42</f>
        <v>0</v>
      </c>
      <c r="LM6" s="203">
        <f>Flags!C44</f>
        <v>0</v>
      </c>
      <c r="LN6" s="203">
        <f>Flags!C45</f>
        <v>0</v>
      </c>
      <c r="LO6" s="203">
        <f>Flags!C46</f>
        <v>0</v>
      </c>
      <c r="LP6" s="203">
        <f>Flags!C47</f>
        <v>0</v>
      </c>
      <c r="LQ6" s="203">
        <f>Flags!C48</f>
        <v>0</v>
      </c>
      <c r="LR6" s="203">
        <f>Flags!C49</f>
        <v>0</v>
      </c>
      <c r="LS6" s="203">
        <f>Flags!C50</f>
        <v>0</v>
      </c>
      <c r="LT6" s="203">
        <f>Flags!C51</f>
        <v>0</v>
      </c>
      <c r="LU6" s="203">
        <f>Flags!C52</f>
        <v>0</v>
      </c>
      <c r="LV6" s="203">
        <f>Flags!C54</f>
        <v>0</v>
      </c>
      <c r="LW6" s="203">
        <f>Flags!C56</f>
        <v>0</v>
      </c>
      <c r="LX6" s="203">
        <f>Flags!C57</f>
        <v>0</v>
      </c>
      <c r="LY6" s="203">
        <f>Flags!C58</f>
        <v>0</v>
      </c>
      <c r="LZ6" s="203">
        <f>Flags!C59</f>
        <v>0</v>
      </c>
      <c r="MA6" s="203">
        <f>Flags!C60</f>
        <v>0</v>
      </c>
      <c r="MB6" s="203">
        <f>Flags!C61</f>
        <v>0</v>
      </c>
      <c r="MC6" s="203">
        <f>Flags!C62</f>
        <v>0</v>
      </c>
      <c r="MD6" s="203">
        <f>Flags!C63</f>
        <v>0</v>
      </c>
      <c r="ME6" s="203">
        <f>Flags!C64</f>
        <v>0</v>
      </c>
      <c r="MF6" s="203">
        <f>Flags!C66</f>
        <v>0</v>
      </c>
      <c r="MG6" s="203">
        <f>Flags!C67</f>
        <v>0</v>
      </c>
      <c r="MH6" s="203">
        <f>Flags!C68</f>
        <v>0</v>
      </c>
      <c r="MI6" s="203">
        <f>Flags!C69</f>
        <v>0</v>
      </c>
      <c r="MJ6" s="203">
        <f>Flags!C70</f>
        <v>0</v>
      </c>
      <c r="MK6" s="203">
        <f>Flags!C71</f>
        <v>0</v>
      </c>
      <c r="ML6" s="203">
        <f>Flags!C72</f>
        <v>0</v>
      </c>
      <c r="MM6" s="203">
        <f>Flags!C73</f>
        <v>0</v>
      </c>
      <c r="MN6" s="203">
        <f>Flags!C74</f>
        <v>0</v>
      </c>
      <c r="MO6" s="203">
        <f>Flags!C75</f>
        <v>0</v>
      </c>
      <c r="MP6" s="203">
        <f>Flags!C76</f>
        <v>0</v>
      </c>
      <c r="MQ6" s="203">
        <f>Flags!C77</f>
        <v>0</v>
      </c>
      <c r="MR6" s="203">
        <f>Flags!C79</f>
        <v>0</v>
      </c>
      <c r="MS6" s="203">
        <f>Flags!C80</f>
        <v>0</v>
      </c>
      <c r="MT6" s="203">
        <f>Flags!C81</f>
        <v>0</v>
      </c>
      <c r="MU6" s="203">
        <f>Flags!C82</f>
        <v>0</v>
      </c>
      <c r="MV6" s="203">
        <f>Flags!C83</f>
        <v>0</v>
      </c>
      <c r="MW6" s="203">
        <f>Flags!C84</f>
        <v>0</v>
      </c>
      <c r="MX6" s="203">
        <f>Flags!C85</f>
        <v>0</v>
      </c>
      <c r="MY6" s="203">
        <f>Flags!C86</f>
        <v>0</v>
      </c>
      <c r="MZ6" s="203">
        <f>Flags!C87</f>
        <v>0</v>
      </c>
      <c r="NA6" s="203">
        <f>Flags!C89</f>
        <v>0</v>
      </c>
      <c r="NB6" s="203">
        <f>Flags!C90</f>
        <v>0</v>
      </c>
      <c r="NC6" s="203">
        <f>Flags!C91</f>
        <v>0</v>
      </c>
      <c r="ND6" s="203">
        <f>Flags!C92</f>
        <v>0</v>
      </c>
      <c r="NE6" s="203">
        <f>Flags!C93</f>
        <v>0</v>
      </c>
      <c r="NF6" s="203">
        <f>Flags!C94</f>
        <v>0</v>
      </c>
      <c r="NG6" s="203">
        <f>Flags!C95</f>
        <v>0</v>
      </c>
      <c r="NH6" s="203">
        <f>Flags!C96</f>
        <v>0</v>
      </c>
      <c r="NI6" s="203">
        <f>Flags!C97</f>
        <v>0</v>
      </c>
      <c r="NJ6" s="203">
        <f>Flags!C98</f>
        <v>0</v>
      </c>
      <c r="NK6" s="203">
        <f>Flags!C100</f>
        <v>0</v>
      </c>
      <c r="NL6" s="203">
        <f>Flags!C101</f>
        <v>0</v>
      </c>
      <c r="NM6" s="203">
        <f>Flags!C102</f>
        <v>0</v>
      </c>
      <c r="NN6" s="203">
        <f>Flags!C103</f>
        <v>0</v>
      </c>
      <c r="NO6" s="203">
        <f>Flags!C104</f>
        <v>0</v>
      </c>
      <c r="NP6" s="203">
        <f>Flags!C105</f>
        <v>0</v>
      </c>
      <c r="NQ6" s="203">
        <f>Flags!C106</f>
        <v>0</v>
      </c>
      <c r="NR6" s="203">
        <f>Flags!C108</f>
        <v>0</v>
      </c>
      <c r="NS6" s="203">
        <f>Flags!C109</f>
        <v>0</v>
      </c>
      <c r="NT6" s="203">
        <f>Flags!C110</f>
        <v>0</v>
      </c>
      <c r="NU6" s="203">
        <f>Flags!C111</f>
        <v>0</v>
      </c>
      <c r="NV6" s="203">
        <f>Flags!C112</f>
        <v>0</v>
      </c>
      <c r="NW6" s="203">
        <f>Flags!C113</f>
        <v>0</v>
      </c>
      <c r="NX6" s="203">
        <f>Flags!C114</f>
        <v>0</v>
      </c>
      <c r="NY6" s="203">
        <f>Flags!C119</f>
        <v>0</v>
      </c>
      <c r="NZ6" s="203">
        <f>Flags!C120</f>
        <v>0</v>
      </c>
      <c r="OA6" s="203">
        <f>Flags!C121</f>
        <v>0</v>
      </c>
      <c r="OB6" s="203">
        <f>Flags!C122</f>
        <v>0</v>
      </c>
      <c r="OC6" s="203">
        <f>Flags!C123</f>
        <v>0</v>
      </c>
      <c r="OD6" s="203">
        <f>Flags!C124</f>
        <v>0</v>
      </c>
      <c r="OE6" s="203">
        <f>Flags!C125</f>
        <v>0</v>
      </c>
      <c r="OF6" s="203">
        <f>Flags!C126</f>
        <v>0</v>
      </c>
      <c r="OG6" s="203">
        <f>Flags!C127</f>
        <v>0</v>
      </c>
      <c r="OH6" s="203">
        <f>Flags!C128</f>
        <v>0</v>
      </c>
      <c r="OI6" s="203">
        <f>Flags!C134</f>
        <v>0</v>
      </c>
      <c r="OJ6" s="203">
        <f>Flags!C135</f>
        <v>0</v>
      </c>
      <c r="OK6" s="203">
        <f>Flags!C136</f>
        <v>0</v>
      </c>
      <c r="OL6" s="203">
        <f>Flags!C137</f>
        <v>0</v>
      </c>
      <c r="OM6" s="203">
        <f>Flags!C138</f>
        <v>0</v>
      </c>
      <c r="ON6" s="203">
        <f>Flags!C139</f>
        <v>0</v>
      </c>
      <c r="OO6" s="203">
        <f>Flags!C140</f>
        <v>0</v>
      </c>
      <c r="OP6" s="203">
        <f>Flags!C141</f>
        <v>0</v>
      </c>
      <c r="OQ6" s="203">
        <f>Flags!C142</f>
        <v>0</v>
      </c>
      <c r="OR6" s="203">
        <f>Flags!C143</f>
        <v>0</v>
      </c>
      <c r="OS6" s="203">
        <f>Flags!C144</f>
        <v>0</v>
      </c>
      <c r="OT6" s="203">
        <f>Flags!C145</f>
        <v>0</v>
      </c>
      <c r="OU6" s="203">
        <f>Flags!C146</f>
        <v>0</v>
      </c>
      <c r="OV6" s="203">
        <f>Flags!C147</f>
        <v>0</v>
      </c>
      <c r="OW6" s="203">
        <f>Flags!C148</f>
        <v>0</v>
      </c>
      <c r="OX6" s="203">
        <f>Flags!C149</f>
        <v>0</v>
      </c>
      <c r="OY6" s="203">
        <f>Flags!C150</f>
        <v>0</v>
      </c>
      <c r="OZ6" s="203">
        <f>Flags!C151</f>
        <v>0</v>
      </c>
      <c r="PA6" s="203">
        <f>Flags!C152</f>
        <v>0</v>
      </c>
      <c r="PB6" s="203">
        <f>Flags!C153</f>
        <v>0</v>
      </c>
      <c r="PC6" s="203">
        <f>Flags!C154</f>
        <v>0</v>
      </c>
      <c r="PD6" s="203">
        <f>Flags!C155</f>
        <v>0</v>
      </c>
      <c r="PE6" s="203">
        <f>Flags!C156</f>
        <v>0</v>
      </c>
      <c r="PF6" s="203">
        <f>Flags!C157</f>
        <v>0</v>
      </c>
      <c r="PG6" s="203">
        <f>'Facility 1'!C44</f>
        <v>0</v>
      </c>
      <c r="PH6" s="203">
        <f>'Facility 1'!C121</f>
        <v>0</v>
      </c>
      <c r="PI6" s="203">
        <f>'Facility 1'!C122</f>
        <v>0</v>
      </c>
      <c r="PJ6" s="203">
        <f>'Facility 1'!C126</f>
        <v>0</v>
      </c>
      <c r="PK6" s="203">
        <f>'Facility 1'!C127</f>
        <v>0</v>
      </c>
      <c r="PL6" s="203">
        <f>'Facility 1'!C128</f>
        <v>0</v>
      </c>
      <c r="PM6" s="203">
        <f>'Facility 1'!C129</f>
        <v>0</v>
      </c>
      <c r="PN6" s="203">
        <f>'Facility 1'!C133</f>
        <v>0</v>
      </c>
      <c r="PO6" s="203">
        <f>'Facility 1'!C134</f>
        <v>0</v>
      </c>
      <c r="PP6" s="203">
        <f>'Facility 1'!C135</f>
        <v>0</v>
      </c>
      <c r="PQ6" s="203">
        <f>'Facility 1'!C136</f>
        <v>0</v>
      </c>
      <c r="PR6" s="203">
        <f>'Facility 1'!C140</f>
        <v>0</v>
      </c>
      <c r="PS6" s="203">
        <f>'Facility 1'!C141</f>
        <v>0</v>
      </c>
      <c r="PT6" s="203">
        <f>'Facility 1'!C142</f>
        <v>0</v>
      </c>
      <c r="PU6" s="203">
        <f>'Facility 1'!C143</f>
        <v>0</v>
      </c>
      <c r="PV6" s="203">
        <f>'Facility 1'!C147</f>
        <v>0</v>
      </c>
      <c r="PW6" s="203">
        <f>'Facility 1'!C148</f>
        <v>0</v>
      </c>
      <c r="PX6" s="203">
        <f>'Facility 1'!C149</f>
        <v>0</v>
      </c>
      <c r="PY6" s="203">
        <f>'Facility 1'!C150</f>
        <v>0</v>
      </c>
      <c r="PZ6" s="203">
        <f>'Facility 1'!C154</f>
        <v>0</v>
      </c>
      <c r="QA6" s="203">
        <f>'Facility 1'!C155</f>
        <v>0</v>
      </c>
      <c r="QB6" s="203">
        <f>'LIS 2'!C9</f>
        <v>0</v>
      </c>
      <c r="QC6" s="203">
        <f>'LIS 2'!C10</f>
        <v>0</v>
      </c>
      <c r="QD6" s="203">
        <f>'LIS 2'!C11</f>
        <v>0</v>
      </c>
      <c r="QE6" s="203">
        <f>'LIS 2'!C12</f>
        <v>0</v>
      </c>
      <c r="QF6" s="203">
        <f>'LIS 2'!C13</f>
        <v>0</v>
      </c>
      <c r="QG6" s="203">
        <f>'LIS 2'!C14</f>
        <v>0</v>
      </c>
      <c r="QH6" s="203">
        <f>'LIS 2'!C15</f>
        <v>0</v>
      </c>
      <c r="QI6" s="203">
        <f>'LIS 2'!C16</f>
        <v>0</v>
      </c>
      <c r="QJ6" s="203">
        <f>'LIS 2'!C20</f>
        <v>0</v>
      </c>
      <c r="QK6" s="203">
        <f>'LIS 2'!C21</f>
        <v>0</v>
      </c>
      <c r="QL6" s="203">
        <f>'LIS 2'!C22</f>
        <v>0</v>
      </c>
      <c r="QM6" s="203">
        <f>'LIS 2'!C23</f>
        <v>0</v>
      </c>
      <c r="QN6" s="203">
        <f>'LIS 2'!C24</f>
        <v>0</v>
      </c>
      <c r="QO6" s="203">
        <f>'LIS 2'!C25</f>
        <v>0</v>
      </c>
      <c r="QP6" s="203">
        <f>'LIS 2'!C26</f>
        <v>0</v>
      </c>
      <c r="QQ6" s="203">
        <f>'LIS 2'!C27</f>
        <v>0</v>
      </c>
      <c r="QR6" s="203">
        <f>'LIS 2'!C32</f>
        <v>0</v>
      </c>
      <c r="QS6" s="203">
        <f>'LIS 2'!C33</f>
        <v>0</v>
      </c>
      <c r="QT6" s="203">
        <f>'LIS 2'!C34</f>
        <v>0</v>
      </c>
      <c r="QU6" s="203">
        <f>'LIS 2'!C35</f>
        <v>0</v>
      </c>
      <c r="QV6" s="203">
        <f>'LIS 2'!C36</f>
        <v>0</v>
      </c>
      <c r="QW6" s="203">
        <f>'LIS 2'!C37</f>
        <v>0</v>
      </c>
      <c r="QX6" s="203">
        <f>'LIS 2'!C38</f>
        <v>0</v>
      </c>
      <c r="QY6" s="203">
        <f>'LIS 2'!C39</f>
        <v>0</v>
      </c>
      <c r="QZ6" s="203">
        <f>'LIS 2'!C40</f>
        <v>0</v>
      </c>
      <c r="RA6" s="203">
        <f>'LIS 2'!C41</f>
        <v>0</v>
      </c>
      <c r="RB6" s="203">
        <f>'LIS 2'!C44</f>
        <v>0</v>
      </c>
      <c r="RC6" s="203">
        <f>'LIS 2'!C46</f>
        <v>0</v>
      </c>
      <c r="RD6" s="203">
        <f>'LIS 2'!C47</f>
        <v>0</v>
      </c>
      <c r="RE6" s="203">
        <f>'LIS 2'!C48</f>
        <v>0</v>
      </c>
      <c r="RF6" s="203">
        <f>'LIS 2'!C49</f>
        <v>0</v>
      </c>
      <c r="RG6" s="203">
        <f>'LIS 2'!C50</f>
        <v>0</v>
      </c>
      <c r="RH6" s="203">
        <f>'LIS 2'!C51</f>
        <v>0</v>
      </c>
      <c r="RI6" s="203">
        <f>'LIS 2'!C52</f>
        <v>0</v>
      </c>
      <c r="RJ6" s="203">
        <f>'LIS 2'!C53</f>
        <v>0</v>
      </c>
      <c r="RK6" s="203">
        <f>'LIS 2'!C54</f>
        <v>0</v>
      </c>
      <c r="RL6" s="203">
        <f>'LIS 2'!C55</f>
        <v>0</v>
      </c>
      <c r="RM6" s="203">
        <f>'LIS 2'!C59</f>
        <v>0</v>
      </c>
      <c r="RN6" s="203">
        <f>'LIS 2'!C60</f>
        <v>0</v>
      </c>
      <c r="RO6" s="203">
        <f>'LIS 2'!C61</f>
        <v>0</v>
      </c>
      <c r="RP6" s="203">
        <f>'LIS 2'!C62</f>
        <v>0</v>
      </c>
      <c r="RQ6" s="203">
        <f>'LIS 2'!C63</f>
        <v>0</v>
      </c>
      <c r="RR6" s="203">
        <f>'LIS 2'!C67</f>
        <v>0</v>
      </c>
      <c r="RS6" s="203">
        <f>'LIS 2'!C73</f>
        <v>0</v>
      </c>
      <c r="RT6" s="203">
        <f>'LIS 2'!C75</f>
        <v>0</v>
      </c>
      <c r="RU6" s="203">
        <f>'Media QC 5'!C25</f>
        <v>0</v>
      </c>
      <c r="RV6" s="203">
        <f>'Media QC 5'!C40</f>
        <v>0</v>
      </c>
      <c r="RW6" s="203">
        <f>'Media QC 5'!C41</f>
        <v>0</v>
      </c>
      <c r="RX6" s="203">
        <f>'Media QC 5'!C42</f>
        <v>0</v>
      </c>
      <c r="RY6" s="203">
        <f>'Media QC 5'!C43</f>
        <v>0</v>
      </c>
      <c r="RZ6" s="203">
        <f>'Media QC 5'!C44</f>
        <v>0</v>
      </c>
      <c r="SA6" s="203">
        <f>'Media QC 5'!C45</f>
        <v>0</v>
      </c>
      <c r="SB6" s="203">
        <f>'Media QC 5'!C46</f>
        <v>0</v>
      </c>
      <c r="SC6" s="203">
        <f>'Media QC 5'!C47</f>
        <v>0</v>
      </c>
      <c r="SD6" s="203">
        <f>'Media QC 5'!C48</f>
        <v>0</v>
      </c>
      <c r="SE6" s="203">
        <f>'Media QC 5'!C63</f>
        <v>0</v>
      </c>
      <c r="SF6" s="203">
        <f>'Media QC 5'!C64</f>
        <v>0</v>
      </c>
      <c r="SG6" s="203">
        <f>'Media QC 5'!C69</f>
        <v>0</v>
      </c>
      <c r="SH6" s="203">
        <f>'ID QC 6'!C157</f>
        <v>0</v>
      </c>
      <c r="SI6" s="203">
        <f>'ID QC 6'!C162</f>
        <v>0</v>
      </c>
      <c r="SJ6" s="110" t="str">
        <f>'Processing 9'!F13</f>
        <v>0</v>
      </c>
      <c r="SK6" s="203">
        <f>'Identification 10'!C12</f>
        <v>0</v>
      </c>
      <c r="SL6" s="203">
        <f>'Identification 10'!C21</f>
        <v>0</v>
      </c>
      <c r="SM6" s="203">
        <f>'Identification 10'!C27</f>
        <v>0</v>
      </c>
      <c r="SN6" s="203">
        <f>'Identification 10'!C34</f>
        <v>0</v>
      </c>
      <c r="SO6" s="203">
        <f>'Identification 10'!C43</f>
        <v>0</v>
      </c>
      <c r="SP6" s="203">
        <f>'Identification 10'!C50</f>
        <v>0</v>
      </c>
      <c r="SQ6" s="203">
        <f>'Identification 10'!C59</f>
        <v>0</v>
      </c>
      <c r="SR6" s="203">
        <f>'Identification 10'!C66</f>
        <v>0</v>
      </c>
      <c r="SS6" s="203">
        <f>'Identification 10'!C73</f>
        <v>0</v>
      </c>
      <c r="ST6" s="203">
        <f>'Identification 10'!C81</f>
        <v>0</v>
      </c>
      <c r="SU6" s="203">
        <f>'Identification 10'!C89</f>
        <v>0</v>
      </c>
      <c r="SV6" s="203">
        <f>'Identification 10'!C96</f>
        <v>0</v>
      </c>
      <c r="SW6" s="203">
        <f>'Identification 10'!C103</f>
        <v>0</v>
      </c>
      <c r="SX6" s="203">
        <f>'Identification 10'!C110</f>
        <v>0</v>
      </c>
      <c r="SY6" s="203">
        <f>'Identification 10'!C117</f>
        <v>0</v>
      </c>
      <c r="SZ6" s="203">
        <f>'Identification 10'!C124</f>
        <v>0</v>
      </c>
      <c r="TA6" s="203">
        <f>'Identification 10'!C131</f>
        <v>0</v>
      </c>
      <c r="TB6" s="203">
        <f>'Identification 10'!C138</f>
        <v>0</v>
      </c>
      <c r="TC6" s="203">
        <f>'Identification 10'!C145</f>
        <v>0</v>
      </c>
      <c r="TD6" s="203">
        <f>'Identification 10'!C154</f>
        <v>0</v>
      </c>
      <c r="TE6" s="203">
        <f>'Identification 10'!C161</f>
        <v>0</v>
      </c>
      <c r="TF6" s="203">
        <f>'Identification 10'!C170</f>
        <v>0</v>
      </c>
      <c r="TG6" s="203">
        <f>'Identification 10'!C177</f>
        <v>0</v>
      </c>
      <c r="TH6" s="203">
        <f>'Identification 10'!C184</f>
        <v>0</v>
      </c>
      <c r="TI6" s="203">
        <f>'Identification 10'!C191</f>
        <v>0</v>
      </c>
      <c r="TJ6" s="203">
        <f>'Identification 10'!C198</f>
        <v>0</v>
      </c>
      <c r="TK6" s="203">
        <f>'Identification 10'!C236</f>
        <v>0</v>
      </c>
      <c r="TL6" s="203">
        <f>'Identification 10'!C237</f>
        <v>0</v>
      </c>
      <c r="TM6" s="203">
        <f>'Identification 10'!C238</f>
        <v>0</v>
      </c>
      <c r="TN6" s="203">
        <f>'Identification 10'!C239</f>
        <v>0</v>
      </c>
      <c r="TO6" s="203">
        <f>'Identification 10'!C240</f>
        <v>0</v>
      </c>
      <c r="TP6" s="203">
        <f>'Identification 10'!C241</f>
        <v>0</v>
      </c>
      <c r="TQ6" s="203">
        <f>'Identification 10'!C242</f>
        <v>0</v>
      </c>
      <c r="TR6" s="203">
        <f>'Identification 10'!C243</f>
        <v>0</v>
      </c>
      <c r="TS6" s="203">
        <f>'Identification 10'!C244</f>
        <v>0</v>
      </c>
      <c r="TT6" s="203">
        <f>'Basic AST 11'!C9</f>
        <v>0</v>
      </c>
      <c r="TU6" s="203">
        <f>'Basic AST 11'!C10</f>
        <v>0</v>
      </c>
      <c r="TV6" s="203">
        <f>'Basic AST 11'!C11</f>
        <v>0</v>
      </c>
      <c r="TW6" s="203">
        <f>'Basic AST 11'!C38</f>
        <v>0</v>
      </c>
      <c r="TX6" s="203">
        <f>'Basic AST 11'!C61</f>
        <v>0</v>
      </c>
      <c r="TY6" s="203">
        <f>'Basic AST 11'!C70</f>
        <v>0</v>
      </c>
      <c r="TZ6" s="203">
        <f>'Basic AST 11'!C74</f>
        <v>0</v>
      </c>
      <c r="UA6" s="203">
        <f>'Basic AST 11'!C75</f>
        <v>0</v>
      </c>
      <c r="UB6" s="203">
        <f>'Basic AST 11'!C78</f>
        <v>0</v>
      </c>
      <c r="UC6" s="203">
        <f>'Basic AST 11'!C84</f>
        <v>0</v>
      </c>
      <c r="UD6" s="203">
        <f>'Basic AST 11'!C85</f>
        <v>0</v>
      </c>
      <c r="UE6" s="203">
        <f>'Basic AST 11'!C86</f>
        <v>0</v>
      </c>
      <c r="UF6" s="203">
        <f>'Basic AST 11'!C87</f>
        <v>0</v>
      </c>
      <c r="UG6" s="203">
        <f>'AST Expert rules 12'!C45</f>
        <v>0</v>
      </c>
      <c r="UH6" s="203">
        <f>'AST Expert rules 12'!C50</f>
        <v>0</v>
      </c>
      <c r="UI6" s="203">
        <f>'AST Expert rules 12'!C51</f>
        <v>0</v>
      </c>
      <c r="UJ6" s="203">
        <f>'AST Expert rules 12'!C52</f>
        <v>0</v>
      </c>
      <c r="UK6" s="203">
        <f>'AST Expert rules 12'!C58</f>
        <v>0</v>
      </c>
      <c r="UL6" s="203">
        <f>'AST Expert rules 12'!C62</f>
        <v>0</v>
      </c>
      <c r="UM6" s="203">
        <f>'AST Expert rules 12'!C63</f>
        <v>0</v>
      </c>
      <c r="UN6" s="203">
        <f>'AST Expert rules 12'!C64</f>
        <v>0</v>
      </c>
      <c r="UO6" s="203">
        <f>'AST Expert rules 12'!C65</f>
        <v>0</v>
      </c>
      <c r="UP6" s="203">
        <f>'AST Expert rules 12'!C66</f>
        <v>0</v>
      </c>
      <c r="UQ6" s="203">
        <f>'AST Expert rules 12'!C67</f>
        <v>0</v>
      </c>
      <c r="UR6" s="203">
        <f>'AST Expert rules 12'!C68</f>
        <v>0</v>
      </c>
      <c r="US6" s="203">
        <f>'AST Expert rules 12'!C69</f>
        <v>0</v>
      </c>
      <c r="UT6" s="203">
        <f>'AST Expert rules 12'!C81</f>
        <v>0</v>
      </c>
      <c r="UU6" s="203">
        <f>'AST Expert rules 12'!C75</f>
        <v>0</v>
      </c>
      <c r="UV6" s="203">
        <f>'AST Expert rules 12'!C82</f>
        <v>0</v>
      </c>
      <c r="UW6" s="203">
        <f>'AST Expert rules 12'!C84</f>
        <v>0</v>
      </c>
      <c r="UX6" s="203">
        <f>'AST Expert rules 12'!C85</f>
        <v>0</v>
      </c>
      <c r="UY6" s="203">
        <f>'AST Expert rules 12'!C90</f>
        <v>0</v>
      </c>
      <c r="UZ6" s="203">
        <f>'AST Expert rules 12'!C91</f>
        <v>0</v>
      </c>
      <c r="VA6" s="203">
        <f>'AST Expert rules 12'!C99</f>
        <v>0</v>
      </c>
      <c r="VB6" s="203">
        <f>'AST Expert rules 12'!C101</f>
        <v>0</v>
      </c>
      <c r="VC6" s="203">
        <f>'AST Expert rules 12'!C109</f>
        <v>0</v>
      </c>
      <c r="VD6" s="203">
        <f>'AST Expert rules 12'!C123</f>
        <v>0</v>
      </c>
      <c r="VE6" s="203">
        <f>'AST Expert rules 12'!C136</f>
        <v>0</v>
      </c>
      <c r="VF6" s="203">
        <f>'AST Expert rules 12'!C137</f>
        <v>0</v>
      </c>
      <c r="VG6" s="203">
        <f>'AST Expert rules 12'!C138</f>
        <v>0</v>
      </c>
      <c r="VH6" s="203">
        <f>'AST Expert rules 12'!C139</f>
        <v>0</v>
      </c>
      <c r="VI6" s="203">
        <f>'AST Expert rules 12'!C143</f>
        <v>0</v>
      </c>
      <c r="VJ6" s="203">
        <f>'AST Expert rules 12'!C144</f>
        <v>0</v>
      </c>
      <c r="VK6" s="203">
        <f>'AST Expert rules 12'!C145</f>
        <v>0</v>
      </c>
      <c r="VL6" s="203">
        <f>'AST Expert rules 12'!C146</f>
        <v>0</v>
      </c>
      <c r="VM6" s="203">
        <f>'AST Expert rules 12'!C147</f>
        <v>0</v>
      </c>
      <c r="VN6" s="203">
        <f>'AST Policy 13'!C19</f>
        <v>0</v>
      </c>
      <c r="VO6" s="203">
        <f>'AST Policy 13'!C40</f>
        <v>0</v>
      </c>
    </row>
    <row r="7" spans="1:587">
      <c r="B7"/>
      <c r="C7"/>
      <c r="T7" s="311"/>
      <c r="U7" s="288"/>
      <c r="V7" s="288"/>
      <c r="W7" s="288"/>
      <c r="X7" s="288"/>
      <c r="Y7" s="288"/>
      <c r="Z7" s="288"/>
      <c r="AA7" s="288"/>
      <c r="AB7" s="288"/>
      <c r="AC7" s="288"/>
      <c r="AD7" s="288"/>
      <c r="AE7" s="288"/>
      <c r="AF7" s="288"/>
      <c r="AG7" s="288"/>
      <c r="AH7" s="288"/>
      <c r="AI7" s="288"/>
      <c r="AJ7" s="288"/>
      <c r="AK7" s="288"/>
      <c r="AL7" s="288"/>
      <c r="AM7" s="288"/>
      <c r="AN7" s="288"/>
      <c r="BB7" s="311"/>
      <c r="BC7" s="288"/>
      <c r="BD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D7" s="288"/>
      <c r="CE7" s="288"/>
      <c r="CF7" s="288"/>
      <c r="CG7" s="288"/>
      <c r="CH7" s="288"/>
      <c r="CI7" s="288"/>
      <c r="CJ7" s="288"/>
      <c r="CK7" s="288"/>
      <c r="CL7" s="288"/>
      <c r="CM7" s="288"/>
      <c r="CN7" s="288"/>
      <c r="CO7" s="288"/>
      <c r="CQ7" s="288"/>
      <c r="CR7" s="288"/>
      <c r="CS7" s="288"/>
      <c r="CT7" s="288"/>
      <c r="CU7" s="288"/>
      <c r="CV7" s="288"/>
      <c r="CW7" s="288"/>
      <c r="CX7" s="288"/>
      <c r="CY7" s="288"/>
      <c r="CZ7" s="288"/>
      <c r="DA7" s="288"/>
      <c r="DC7" s="288"/>
      <c r="DD7" s="288"/>
      <c r="DE7" s="288"/>
      <c r="DF7" s="288"/>
      <c r="DG7" s="288"/>
      <c r="DH7" s="288"/>
      <c r="DI7" s="288"/>
      <c r="DJ7" s="288"/>
      <c r="DK7" s="288"/>
      <c r="DL7" s="288"/>
      <c r="DM7" s="288"/>
      <c r="DN7" s="288"/>
      <c r="DP7" s="288"/>
      <c r="DQ7" s="288"/>
      <c r="DR7" s="288"/>
      <c r="DS7" s="288"/>
      <c r="DT7" s="288"/>
      <c r="DU7" s="288"/>
      <c r="DV7" s="288"/>
      <c r="DW7" s="288"/>
      <c r="DX7" s="288"/>
      <c r="DY7" s="288"/>
      <c r="DZ7" s="288"/>
      <c r="EM7" s="288"/>
      <c r="EN7" s="288"/>
      <c r="EO7" s="288"/>
      <c r="EP7" s="288"/>
      <c r="EQ7" s="288"/>
      <c r="ER7" s="288"/>
      <c r="ES7" s="288"/>
      <c r="ET7" s="288"/>
      <c r="EU7" s="288"/>
      <c r="EV7" s="288"/>
      <c r="EW7" s="288"/>
      <c r="EX7" s="288"/>
      <c r="EY7" s="288"/>
      <c r="EZ7" s="288"/>
      <c r="FA7" s="288"/>
      <c r="FB7" s="288"/>
      <c r="FC7" s="288"/>
      <c r="FD7" s="288"/>
      <c r="FE7" s="288"/>
      <c r="FF7" s="288"/>
      <c r="FG7" s="288"/>
      <c r="FH7" s="288"/>
      <c r="FI7" s="288"/>
      <c r="FJ7" s="288"/>
      <c r="FK7" s="288"/>
      <c r="FL7" s="288"/>
      <c r="FM7" s="288"/>
      <c r="FN7" s="288"/>
      <c r="FO7" s="288"/>
      <c r="FP7" s="288"/>
      <c r="FQ7" s="288"/>
      <c r="FR7" s="288"/>
      <c r="FS7" s="288"/>
      <c r="KC7" s="288"/>
      <c r="KD7" s="288"/>
      <c r="KE7" s="288"/>
      <c r="KF7" s="288"/>
      <c r="KG7" s="288"/>
      <c r="KH7" s="288"/>
      <c r="KI7" s="288"/>
      <c r="KJ7" s="288"/>
      <c r="KK7" s="288"/>
      <c r="KL7" s="288"/>
      <c r="KM7" s="288"/>
      <c r="KN7" s="288"/>
      <c r="KO7" s="288"/>
      <c r="KP7" s="288"/>
      <c r="KQ7" s="288"/>
      <c r="KR7" s="288"/>
      <c r="KS7" s="288"/>
      <c r="KT7" s="288"/>
      <c r="KU7" s="288"/>
      <c r="KV7" s="288"/>
      <c r="KW7" s="288"/>
      <c r="KX7" s="288"/>
      <c r="KY7" s="288"/>
      <c r="KZ7" s="288"/>
      <c r="LA7" s="288"/>
      <c r="LB7" s="288"/>
      <c r="LC7" s="288"/>
      <c r="LD7" s="288"/>
      <c r="LE7" s="288"/>
      <c r="LF7" s="288"/>
      <c r="LG7" s="288"/>
      <c r="LH7" s="288"/>
      <c r="LI7" s="288"/>
      <c r="LJ7" s="288"/>
      <c r="LK7" s="288"/>
      <c r="LL7" s="288"/>
      <c r="LM7" s="288"/>
      <c r="LN7" s="288"/>
      <c r="LO7" s="288"/>
      <c r="LP7" s="288"/>
      <c r="LQ7" s="288"/>
      <c r="LR7" s="288"/>
      <c r="LS7" s="288"/>
      <c r="LT7" s="288"/>
      <c r="LU7" s="288"/>
      <c r="LV7" s="288"/>
      <c r="LW7" s="288"/>
      <c r="LX7" s="288"/>
      <c r="LY7" s="288"/>
      <c r="LZ7" s="288"/>
      <c r="MA7" s="288"/>
      <c r="MB7" s="288"/>
      <c r="MC7" s="288"/>
      <c r="MD7" s="288"/>
      <c r="ME7" s="288"/>
      <c r="MF7" s="288"/>
      <c r="MG7" s="288"/>
      <c r="MH7" s="288"/>
      <c r="MI7" s="288"/>
      <c r="MJ7" s="288"/>
      <c r="MK7" s="288"/>
      <c r="ML7" s="288"/>
      <c r="MM7" s="288"/>
      <c r="MN7" s="288"/>
      <c r="MO7" s="288"/>
      <c r="MP7" s="288"/>
      <c r="MQ7" s="288"/>
      <c r="MR7" s="288"/>
      <c r="MS7" s="288"/>
      <c r="MT7" s="288"/>
      <c r="MU7" s="288"/>
      <c r="MV7" s="288"/>
      <c r="MW7" s="288"/>
      <c r="MX7" s="288"/>
      <c r="MY7" s="288"/>
      <c r="MZ7" s="288"/>
      <c r="NA7" s="288"/>
      <c r="NB7" s="288"/>
      <c r="NC7" s="288"/>
      <c r="ND7" s="288"/>
      <c r="NE7" s="288"/>
      <c r="NF7" s="288"/>
      <c r="NG7" s="288"/>
      <c r="NH7" s="288"/>
      <c r="NI7" s="288"/>
      <c r="NJ7" s="288"/>
      <c r="NK7" s="288"/>
      <c r="NL7" s="288"/>
      <c r="NM7" s="288"/>
      <c r="NN7" s="288"/>
      <c r="NO7" s="288"/>
      <c r="NP7" s="288"/>
      <c r="NQ7" s="288"/>
      <c r="NR7" s="288"/>
      <c r="NS7" s="288"/>
      <c r="NT7" s="288"/>
      <c r="NU7" s="288"/>
      <c r="NV7" s="288"/>
      <c r="NW7" s="288"/>
      <c r="NX7" s="288"/>
      <c r="NY7" s="288"/>
      <c r="NZ7" s="288"/>
      <c r="OA7" s="288"/>
      <c r="OB7" s="288"/>
      <c r="OC7" s="288"/>
      <c r="OD7" s="288"/>
      <c r="OE7" s="288"/>
      <c r="OF7" s="288"/>
      <c r="OG7" s="288"/>
      <c r="OH7" s="288"/>
      <c r="OI7" s="288"/>
      <c r="OJ7" s="288"/>
      <c r="OK7" s="288"/>
      <c r="OL7" s="288"/>
      <c r="OM7" s="288"/>
      <c r="ON7" s="288"/>
      <c r="OO7" s="288"/>
      <c r="OP7" s="288"/>
      <c r="OQ7" s="288"/>
      <c r="OR7" s="288"/>
      <c r="OS7" s="288"/>
      <c r="OT7" s="288"/>
      <c r="OU7" s="288"/>
      <c r="OV7" s="288"/>
      <c r="OW7" s="288"/>
      <c r="OX7" s="288"/>
      <c r="OY7" s="288"/>
      <c r="OZ7" s="288"/>
      <c r="PA7" s="288"/>
      <c r="PB7" s="288"/>
      <c r="PC7" s="288"/>
      <c r="PD7" s="288"/>
      <c r="PE7" s="288"/>
      <c r="PF7" s="288"/>
    </row>
    <row r="8" spans="1:587">
      <c r="A8" s="390" t="str">
        <f>Language!A1674</f>
        <v>Refer to the User Guide for Export instructions. Failure to follow directions will result in major errors.</v>
      </c>
      <c r="B8" s="393"/>
      <c r="C8" s="393"/>
      <c r="D8" s="393"/>
      <c r="E8" s="393"/>
      <c r="F8" s="393"/>
      <c r="G8" s="393"/>
      <c r="H8" s="393"/>
      <c r="I8" s="393"/>
      <c r="J8" s="393"/>
      <c r="K8" s="393"/>
      <c r="L8" s="393"/>
      <c r="M8" s="393"/>
      <c r="N8" s="393"/>
      <c r="O8" s="393"/>
      <c r="P8" s="393"/>
      <c r="Q8" s="393"/>
      <c r="R8" s="393"/>
      <c r="S8" s="393"/>
      <c r="T8" s="394"/>
      <c r="U8" s="288"/>
      <c r="V8" s="288"/>
      <c r="W8" s="288"/>
      <c r="X8" s="288"/>
      <c r="Y8" s="288"/>
      <c r="Z8" s="288"/>
      <c r="AA8" s="288"/>
      <c r="AB8" s="288"/>
      <c r="AC8" s="288"/>
      <c r="AD8" s="288"/>
      <c r="AE8" s="288"/>
      <c r="AF8" s="288"/>
      <c r="AG8" s="288"/>
      <c r="AH8" s="288"/>
      <c r="AI8" s="288"/>
      <c r="AJ8" s="288"/>
      <c r="AK8" s="288"/>
      <c r="AL8" s="288"/>
      <c r="AM8" s="288"/>
      <c r="AN8" s="288"/>
      <c r="BB8" s="311"/>
      <c r="BC8" s="288"/>
      <c r="BD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D8" s="288"/>
      <c r="CE8" s="288"/>
      <c r="CF8" s="288"/>
      <c r="CG8" s="288"/>
      <c r="CH8" s="288"/>
      <c r="CI8" s="288"/>
      <c r="CJ8" s="288"/>
      <c r="CK8" s="288"/>
      <c r="CL8" s="288"/>
      <c r="CM8" s="288"/>
      <c r="CN8" s="288"/>
      <c r="CO8" s="288"/>
      <c r="CQ8" s="288"/>
      <c r="CR8" s="288"/>
      <c r="CS8" s="288"/>
      <c r="CT8" s="288"/>
      <c r="CU8" s="288"/>
      <c r="CV8" s="288"/>
      <c r="CW8" s="288"/>
      <c r="CX8" s="288"/>
      <c r="CY8" s="288"/>
      <c r="CZ8" s="288"/>
      <c r="DA8" s="288"/>
      <c r="DC8" s="288"/>
      <c r="DD8" s="288"/>
      <c r="DE8" s="288"/>
      <c r="DF8" s="288"/>
      <c r="DG8" s="288"/>
      <c r="DH8" s="288"/>
      <c r="DI8" s="288"/>
      <c r="DJ8" s="288"/>
      <c r="DK8" s="288"/>
      <c r="DL8" s="288"/>
      <c r="DM8" s="288"/>
      <c r="DN8" s="288"/>
      <c r="DP8" s="288"/>
      <c r="DQ8" s="288"/>
      <c r="DR8" s="288"/>
      <c r="DS8" s="288"/>
      <c r="DT8" s="288"/>
      <c r="DU8" s="288"/>
      <c r="DV8" s="288"/>
      <c r="DW8" s="288"/>
      <c r="DX8" s="288"/>
      <c r="DY8" s="288"/>
      <c r="DZ8" s="288"/>
      <c r="FH8" s="288"/>
      <c r="FI8" s="288"/>
      <c r="FJ8" s="288"/>
      <c r="FK8" s="288"/>
      <c r="FL8" s="288"/>
      <c r="FM8" s="288"/>
      <c r="FN8" s="288"/>
      <c r="FO8" s="288"/>
      <c r="FP8" s="288"/>
      <c r="FQ8" s="288"/>
      <c r="FR8" s="288"/>
      <c r="FS8" s="288"/>
    </row>
    <row r="9" spans="1:587">
      <c r="T9" s="311"/>
      <c r="U9" s="288"/>
      <c r="V9" s="288"/>
      <c r="W9" s="288"/>
      <c r="X9" s="288"/>
      <c r="Y9" s="288"/>
      <c r="Z9" s="288"/>
      <c r="AA9" s="288"/>
      <c r="AB9" s="288"/>
      <c r="AC9" s="288"/>
      <c r="AD9" s="288"/>
      <c r="AE9" s="288"/>
      <c r="AF9" s="288"/>
      <c r="AG9" s="288"/>
      <c r="AH9" s="288"/>
      <c r="AI9" s="288"/>
      <c r="AJ9" s="288"/>
      <c r="AK9" s="288"/>
      <c r="AL9" s="288"/>
      <c r="AM9" s="288"/>
      <c r="AN9" s="288"/>
      <c r="BC9" s="288"/>
      <c r="BD9" s="288"/>
      <c r="BF9" s="288"/>
      <c r="BG9" s="288"/>
      <c r="BH9" s="288"/>
      <c r="BI9" s="288"/>
      <c r="BJ9" s="288"/>
      <c r="BK9" s="288"/>
      <c r="BL9" s="288"/>
      <c r="BM9" s="288"/>
      <c r="BN9" s="288"/>
      <c r="BO9" s="288"/>
      <c r="BP9" s="288"/>
      <c r="BQ9" s="288"/>
      <c r="BR9" s="288"/>
      <c r="BS9" s="288"/>
      <c r="BT9" s="288"/>
      <c r="BU9" s="288"/>
      <c r="BV9" s="288"/>
      <c r="BW9" s="288"/>
      <c r="BX9" s="288"/>
      <c r="BY9" s="288"/>
      <c r="BZ9" s="288"/>
      <c r="CA9" s="288"/>
      <c r="JU9" s="110"/>
    </row>
    <row r="10" spans="1:587">
      <c r="HJ10" s="110"/>
      <c r="JU10" s="110"/>
    </row>
    <row r="11" spans="1:587">
      <c r="HJ11" s="110"/>
    </row>
    <row r="12" spans="1:587">
      <c r="T12" s="301"/>
      <c r="AC12" s="301"/>
      <c r="JE12" s="110"/>
    </row>
    <row r="13" spans="1:587">
      <c r="AC13" s="301"/>
      <c r="HC13" s="110"/>
      <c r="HJ13" s="110"/>
      <c r="JE13" s="110"/>
    </row>
    <row r="14" spans="1:587">
      <c r="AC14" s="301"/>
      <c r="HC14" s="110"/>
      <c r="HJ14" s="110"/>
    </row>
    <row r="15" spans="1:587">
      <c r="JE15" s="110"/>
    </row>
    <row r="16" spans="1:587">
      <c r="HC16" s="110"/>
      <c r="JE16" s="110"/>
      <c r="JK16" s="110"/>
    </row>
    <row r="17" spans="54:271">
      <c r="HC17" s="110"/>
      <c r="JE17" s="110"/>
      <c r="JK17" s="110"/>
    </row>
    <row r="18" spans="54:271">
      <c r="GL18" s="110"/>
      <c r="HC18" s="110"/>
      <c r="JE18" s="110"/>
    </row>
    <row r="19" spans="54:271">
      <c r="GL19" s="110"/>
      <c r="JK19" s="110"/>
    </row>
    <row r="20" spans="54:271">
      <c r="FX20" s="110"/>
      <c r="JK20" s="110"/>
    </row>
    <row r="21" spans="54:271">
      <c r="GL21" s="110"/>
    </row>
    <row r="22" spans="54:271">
      <c r="BB22" s="278"/>
      <c r="FX22" s="110"/>
    </row>
    <row r="23" spans="54:271">
      <c r="BB23" s="278"/>
      <c r="FX23" s="110"/>
    </row>
    <row r="24" spans="54:271">
      <c r="BB24" s="278"/>
      <c r="FX24" s="110"/>
    </row>
    <row r="25" spans="54:271">
      <c r="BB25" s="278"/>
    </row>
    <row r="26" spans="54:271">
      <c r="BB26" s="278"/>
    </row>
    <row r="27" spans="54:271">
      <c r="BB27" s="278"/>
    </row>
    <row r="28" spans="54:271">
      <c r="BB28" s="278"/>
    </row>
  </sheetData>
  <sheetProtection algorithmName="SHA-256" hashValue="nf3CI3GURLeJe2DISwLIXkFMA6/aR/+TxNJrma3zNI0=" saltValue="xO9iYEB6p/cy+Q0QunOCTA==" spinCount="100000" sheet="1" objects="1" scenarios="1"/>
  <mergeCells count="42">
    <mergeCell ref="TT2:UF2"/>
    <mergeCell ref="UG2:VM2"/>
    <mergeCell ref="VN2:VO2"/>
    <mergeCell ref="PG2:QA2"/>
    <mergeCell ref="QB2:RT2"/>
    <mergeCell ref="RU2:SG2"/>
    <mergeCell ref="SH2:SI2"/>
    <mergeCell ref="SK2:TS2"/>
    <mergeCell ref="AO2:AT2"/>
    <mergeCell ref="AU2:BA2"/>
    <mergeCell ref="BB2:BV2"/>
    <mergeCell ref="FT2:FV2"/>
    <mergeCell ref="EA2:EM2"/>
    <mergeCell ref="BW2:CB2"/>
    <mergeCell ref="CC2:DA2"/>
    <mergeCell ref="DB2:DZ2"/>
    <mergeCell ref="B2:S2"/>
    <mergeCell ref="T2:X2"/>
    <mergeCell ref="Y2:AB2"/>
    <mergeCell ref="AC2:AH2"/>
    <mergeCell ref="AI2:AN2"/>
    <mergeCell ref="FX2:GK2"/>
    <mergeCell ref="GL2:GV2"/>
    <mergeCell ref="GW2:HB2"/>
    <mergeCell ref="HC2:HI2"/>
    <mergeCell ref="HJ2:HM2"/>
    <mergeCell ref="KB2:NX2"/>
    <mergeCell ref="NY2:OH2"/>
    <mergeCell ref="OI2:PF2"/>
    <mergeCell ref="EN2:FH2"/>
    <mergeCell ref="FI2:FN2"/>
    <mergeCell ref="FO2:FS2"/>
    <mergeCell ref="IL2:IO2"/>
    <mergeCell ref="IG2:IK2"/>
    <mergeCell ref="IB2:IF2"/>
    <mergeCell ref="HT2:IA2"/>
    <mergeCell ref="HN2:HS2"/>
    <mergeCell ref="JX2:KA2"/>
    <mergeCell ref="JU2:JW2"/>
    <mergeCell ref="JK2:JT2"/>
    <mergeCell ref="JE2:JJ2"/>
    <mergeCell ref="IP2:JD2"/>
  </mergeCells>
  <phoneticPr fontId="45" type="noConversion"/>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2E0A-E1C5-41D3-8DE2-0BD1B47C29C2}">
  <sheetPr>
    <tabColor rgb="FFFFFF00"/>
  </sheetPr>
  <dimension ref="A1:J40"/>
  <sheetViews>
    <sheetView showGridLines="0" zoomScaleNormal="100" workbookViewId="0">
      <selection activeCell="A11" sqref="A11"/>
    </sheetView>
  </sheetViews>
  <sheetFormatPr defaultRowHeight="15.6"/>
  <sheetData>
    <row r="1" spans="1:10">
      <c r="A1" s="38"/>
      <c r="B1" s="38"/>
      <c r="C1" s="38"/>
      <c r="D1" s="38"/>
      <c r="E1" s="38"/>
      <c r="F1" s="38"/>
      <c r="G1" s="38"/>
      <c r="H1" s="38"/>
      <c r="I1" s="38"/>
    </row>
    <row r="2" spans="1:10" ht="39.6" customHeight="1">
      <c r="A2" s="563" t="str">
        <f>Language!A16</f>
        <v>Please register your use of the Laboratory Assessment of Antibiotic Resistance Testing Capacity (LAARC) Tool.</v>
      </c>
      <c r="B2" s="563"/>
      <c r="C2" s="563"/>
      <c r="D2" s="563"/>
      <c r="E2" s="563"/>
      <c r="F2" s="563"/>
      <c r="G2" s="563"/>
      <c r="H2" s="563"/>
      <c r="I2" s="563"/>
      <c r="J2" s="480"/>
    </row>
    <row r="3" spans="1:10">
      <c r="A3" s="38"/>
      <c r="B3" s="38"/>
      <c r="C3" s="38"/>
      <c r="D3" s="38"/>
      <c r="E3" s="38"/>
      <c r="F3" s="38"/>
      <c r="G3" s="38"/>
      <c r="H3" s="38"/>
      <c r="I3" s="38"/>
    </row>
    <row r="4" spans="1:10">
      <c r="A4" s="564" t="str">
        <f>Language!A17</f>
        <v>Registration is optional.</v>
      </c>
      <c r="B4" s="564"/>
      <c r="C4" s="564"/>
      <c r="D4" s="564"/>
      <c r="E4" s="564"/>
      <c r="F4" s="564"/>
      <c r="G4" s="564"/>
      <c r="H4" s="564"/>
      <c r="I4" s="564"/>
    </row>
    <row r="5" spans="1:10">
      <c r="A5" s="564" t="str">
        <f>Language!A18</f>
        <v xml:space="preserve">If you register, CDC will notify you of updates and changes to the LAARC Tool. </v>
      </c>
      <c r="B5" s="564"/>
      <c r="C5" s="564"/>
      <c r="D5" s="564"/>
      <c r="E5" s="564"/>
      <c r="F5" s="564"/>
      <c r="G5" s="564"/>
      <c r="H5" s="564"/>
      <c r="I5" s="564"/>
    </row>
    <row r="6" spans="1:10">
      <c r="A6" s="38"/>
      <c r="B6" s="38"/>
      <c r="C6" s="38"/>
      <c r="D6" s="38"/>
      <c r="E6" s="38"/>
      <c r="F6" s="38"/>
      <c r="G6" s="38"/>
      <c r="H6" s="38"/>
      <c r="I6" s="38"/>
    </row>
    <row r="7" spans="1:10" ht="45" customHeight="1">
      <c r="A7" s="564" t="str">
        <f>Language!A19</f>
        <v>In addition, CDC may request feedback to improve the tool or ask you to participate in research to better understand antimicrobial resistance laboratory findings from around the world. Sharing information is optional.</v>
      </c>
      <c r="B7" s="564"/>
      <c r="C7" s="564"/>
      <c r="D7" s="564"/>
      <c r="E7" s="564"/>
      <c r="F7" s="564"/>
      <c r="G7" s="564"/>
      <c r="H7" s="564"/>
      <c r="I7" s="564"/>
    </row>
    <row r="8" spans="1:10">
      <c r="A8" s="38"/>
      <c r="B8" s="38"/>
      <c r="C8" s="38"/>
      <c r="D8" s="38"/>
      <c r="E8" s="38"/>
      <c r="F8" s="38"/>
      <c r="G8" s="38"/>
      <c r="H8" s="38"/>
      <c r="I8" s="38"/>
    </row>
    <row r="9" spans="1:10" s="52" customFormat="1" ht="15.6" customHeight="1">
      <c r="A9" s="555" t="str">
        <f>Language!A20</f>
        <v>LAARC Tool Registration (optional) (https://www.cdc.gov/drugresistance/intl-activities/registration.html)</v>
      </c>
      <c r="B9" s="555"/>
      <c r="C9" s="555"/>
      <c r="D9" s="555"/>
      <c r="E9" s="555"/>
      <c r="F9" s="555"/>
      <c r="G9" s="555"/>
      <c r="H9" s="555"/>
      <c r="I9" s="555"/>
    </row>
    <row r="10" spans="1:10">
      <c r="A10" s="38"/>
      <c r="B10" s="38"/>
      <c r="C10" s="38"/>
      <c r="D10" s="38"/>
      <c r="E10" s="38"/>
      <c r="F10" s="38"/>
      <c r="G10" s="38"/>
      <c r="H10" s="38"/>
      <c r="I10" s="38"/>
    </row>
    <row r="11" spans="1:10">
      <c r="A11" s="38"/>
      <c r="B11" s="38"/>
      <c r="C11" s="38"/>
      <c r="D11" s="38"/>
      <c r="E11" s="38"/>
      <c r="F11" s="38"/>
      <c r="G11" s="38"/>
      <c r="H11" s="38"/>
      <c r="I11" s="38"/>
    </row>
    <row r="12" spans="1:10" ht="49.95" customHeight="1">
      <c r="A12" s="562" t="str">
        <f>Language!A30</f>
        <v>Please use this Excel scoring tool in conjunction with the LAARC User Guide and Questionnaire, which includes the questions in a printable format. Available on the CDC website:</v>
      </c>
      <c r="B12" s="562"/>
      <c r="C12" s="562"/>
      <c r="D12" s="562"/>
      <c r="E12" s="562"/>
      <c r="F12" s="562"/>
      <c r="G12" s="562"/>
      <c r="H12" s="562"/>
      <c r="I12" s="562"/>
    </row>
    <row r="13" spans="1:10">
      <c r="B13" s="38"/>
      <c r="C13" s="38"/>
      <c r="D13" s="38"/>
      <c r="E13" s="38"/>
      <c r="F13" s="38"/>
      <c r="G13" s="38"/>
      <c r="H13" s="38"/>
      <c r="I13" s="38"/>
    </row>
    <row r="14" spans="1:10">
      <c r="A14" s="543" t="str">
        <f>Language!A31</f>
        <v>https://www.cdc.gov/drugresistance/intl-activities/laarc.html</v>
      </c>
      <c r="B14" s="38"/>
      <c r="C14" s="38"/>
      <c r="D14" s="38"/>
      <c r="E14" s="38"/>
      <c r="F14" s="38"/>
      <c r="G14" s="38"/>
      <c r="H14" s="38"/>
      <c r="I14" s="38"/>
    </row>
    <row r="15" spans="1:10">
      <c r="A15" s="38"/>
      <c r="B15" s="38"/>
      <c r="C15" s="38"/>
      <c r="D15" s="38"/>
      <c r="E15" s="38"/>
      <c r="F15" s="38"/>
      <c r="G15" s="38"/>
      <c r="H15" s="38"/>
      <c r="I15" s="38"/>
    </row>
    <row r="16" spans="1:10">
      <c r="A16" s="38"/>
      <c r="B16" s="38"/>
      <c r="C16" s="38"/>
      <c r="D16" s="38"/>
      <c r="E16" s="38"/>
      <c r="F16" s="38"/>
      <c r="G16" s="38"/>
      <c r="H16" s="38"/>
      <c r="I16" s="38"/>
    </row>
    <row r="17" spans="1:9">
      <c r="A17" s="38"/>
      <c r="B17" s="38"/>
      <c r="C17" s="38"/>
      <c r="D17" s="38"/>
      <c r="E17" s="38"/>
      <c r="F17" s="38"/>
      <c r="G17" s="38"/>
      <c r="H17" s="38"/>
      <c r="I17" s="38"/>
    </row>
    <row r="18" spans="1:9">
      <c r="A18" s="38"/>
      <c r="B18" s="38"/>
      <c r="C18" s="38"/>
      <c r="D18" s="38"/>
      <c r="E18" s="38"/>
      <c r="F18" s="38"/>
      <c r="G18" s="38"/>
      <c r="H18" s="38"/>
      <c r="I18" s="38"/>
    </row>
    <row r="19" spans="1:9">
      <c r="A19" s="38"/>
      <c r="B19" s="38"/>
      <c r="C19" s="38"/>
      <c r="D19" s="38"/>
      <c r="E19" s="38"/>
      <c r="F19" s="38"/>
      <c r="G19" s="38"/>
      <c r="H19" s="38"/>
      <c r="I19" s="38"/>
    </row>
    <row r="20" spans="1:9">
      <c r="A20" s="38"/>
      <c r="B20" s="38"/>
      <c r="C20" s="38"/>
      <c r="D20" s="38"/>
      <c r="E20" s="38"/>
      <c r="F20" s="38"/>
      <c r="G20" s="38"/>
      <c r="H20" s="38"/>
      <c r="I20" s="38"/>
    </row>
    <row r="21" spans="1:9">
      <c r="A21" s="38"/>
      <c r="B21" s="38"/>
      <c r="C21" s="38"/>
      <c r="D21" s="38"/>
      <c r="E21" s="38"/>
      <c r="F21" s="38"/>
      <c r="G21" s="38"/>
      <c r="H21" s="38"/>
      <c r="I21" s="38"/>
    </row>
    <row r="22" spans="1:9">
      <c r="A22" s="38"/>
      <c r="B22" s="38"/>
      <c r="C22" s="38"/>
      <c r="D22" s="38"/>
      <c r="E22" s="38"/>
      <c r="F22" s="38"/>
      <c r="G22" s="38"/>
      <c r="H22" s="38"/>
      <c r="I22" s="38"/>
    </row>
    <row r="23" spans="1:9">
      <c r="A23" s="38"/>
      <c r="B23" s="38"/>
      <c r="C23" s="38"/>
      <c r="D23" s="38"/>
      <c r="E23" s="38"/>
      <c r="F23" s="38"/>
      <c r="G23" s="38"/>
      <c r="H23" s="38"/>
      <c r="I23" s="38"/>
    </row>
    <row r="24" spans="1:9">
      <c r="A24" s="38"/>
      <c r="B24" s="38"/>
      <c r="C24" s="38"/>
      <c r="D24" s="38"/>
      <c r="E24" s="38"/>
      <c r="F24" s="38"/>
      <c r="G24" s="38"/>
      <c r="H24" s="38"/>
      <c r="I24" s="38"/>
    </row>
    <row r="25" spans="1:9">
      <c r="A25" s="38"/>
      <c r="B25" s="38"/>
      <c r="C25" s="38"/>
      <c r="D25" s="38"/>
      <c r="E25" s="38"/>
      <c r="F25" s="38"/>
      <c r="G25" s="38"/>
      <c r="H25" s="38"/>
      <c r="I25" s="38"/>
    </row>
    <row r="26" spans="1:9">
      <c r="A26" s="38"/>
      <c r="B26" s="38"/>
      <c r="C26" s="38"/>
      <c r="D26" s="38"/>
      <c r="E26" s="38"/>
      <c r="F26" s="38"/>
      <c r="G26" s="38"/>
      <c r="H26" s="38"/>
      <c r="I26" s="38"/>
    </row>
    <row r="27" spans="1:9">
      <c r="A27" s="38"/>
      <c r="B27" s="38"/>
      <c r="C27" s="38"/>
      <c r="D27" s="38"/>
      <c r="E27" s="38"/>
      <c r="F27" s="38"/>
      <c r="G27" s="38"/>
      <c r="H27" s="38"/>
      <c r="I27" s="38"/>
    </row>
    <row r="28" spans="1:9">
      <c r="A28" s="38"/>
      <c r="B28" s="38"/>
      <c r="C28" s="38"/>
      <c r="D28" s="38"/>
      <c r="E28" s="38"/>
      <c r="F28" s="38"/>
      <c r="G28" s="38"/>
      <c r="H28" s="38"/>
      <c r="I28" s="38"/>
    </row>
    <row r="29" spans="1:9">
      <c r="A29" s="38"/>
      <c r="B29" s="38"/>
      <c r="C29" s="38"/>
      <c r="D29" s="38"/>
      <c r="E29" s="38"/>
      <c r="F29" s="38"/>
      <c r="G29" s="38"/>
      <c r="H29" s="38"/>
      <c r="I29" s="38"/>
    </row>
    <row r="30" spans="1:9">
      <c r="A30" s="38"/>
      <c r="B30" s="38"/>
      <c r="C30" s="38"/>
      <c r="D30" s="38"/>
      <c r="E30" s="38"/>
      <c r="F30" s="38"/>
      <c r="G30" s="38"/>
      <c r="H30" s="38"/>
      <c r="I30" s="38"/>
    </row>
    <row r="31" spans="1:9">
      <c r="A31" s="38"/>
      <c r="B31" s="38"/>
      <c r="C31" s="38"/>
      <c r="D31" s="38"/>
      <c r="E31" s="38"/>
      <c r="F31" s="38"/>
      <c r="G31" s="38"/>
      <c r="H31" s="38"/>
      <c r="I31" s="38"/>
    </row>
    <row r="32" spans="1:9">
      <c r="A32" s="38"/>
      <c r="B32" s="38"/>
      <c r="C32" s="38"/>
      <c r="D32" s="38"/>
      <c r="E32" s="38"/>
      <c r="F32" s="38"/>
      <c r="G32" s="38"/>
      <c r="H32" s="38"/>
      <c r="I32" s="38"/>
    </row>
    <row r="33" spans="1:9">
      <c r="A33" s="38"/>
      <c r="B33" s="38"/>
      <c r="C33" s="38"/>
      <c r="D33" s="38"/>
      <c r="E33" s="38"/>
      <c r="F33" s="38"/>
      <c r="G33" s="38"/>
      <c r="H33" s="38"/>
      <c r="I33" s="38"/>
    </row>
    <row r="34" spans="1:9">
      <c r="A34" s="38"/>
      <c r="B34" s="38"/>
      <c r="C34" s="38"/>
      <c r="D34" s="38"/>
      <c r="E34" s="38"/>
      <c r="F34" s="38"/>
      <c r="G34" s="38"/>
      <c r="H34" s="38"/>
      <c r="I34" s="38"/>
    </row>
    <row r="35" spans="1:9">
      <c r="A35" s="38"/>
      <c r="B35" s="38"/>
      <c r="C35" s="38"/>
      <c r="D35" s="38"/>
      <c r="E35" s="38"/>
      <c r="F35" s="38"/>
      <c r="G35" s="38"/>
      <c r="H35" s="38"/>
      <c r="I35" s="38"/>
    </row>
    <row r="36" spans="1:9">
      <c r="A36" s="38"/>
      <c r="B36" s="38"/>
      <c r="C36" s="38"/>
      <c r="D36" s="38"/>
      <c r="E36" s="38"/>
      <c r="F36" s="38"/>
      <c r="G36" s="38"/>
      <c r="H36" s="38"/>
      <c r="I36" s="38"/>
    </row>
    <row r="37" spans="1:9">
      <c r="A37" s="38"/>
      <c r="B37" s="38"/>
      <c r="C37" s="38"/>
      <c r="D37" s="38"/>
      <c r="E37" s="38"/>
      <c r="F37" s="38"/>
      <c r="G37" s="38"/>
      <c r="H37" s="38"/>
      <c r="I37" s="38"/>
    </row>
    <row r="38" spans="1:9">
      <c r="A38" s="38"/>
      <c r="B38" s="38"/>
      <c r="C38" s="38"/>
      <c r="D38" s="38"/>
      <c r="E38" s="38"/>
      <c r="F38" s="38"/>
      <c r="G38" s="38"/>
      <c r="H38" s="38"/>
      <c r="I38" s="38"/>
    </row>
    <row r="39" spans="1:9">
      <c r="A39" s="38"/>
      <c r="B39" s="38"/>
      <c r="C39" s="38"/>
      <c r="D39" s="38"/>
      <c r="E39" s="38"/>
      <c r="F39" s="38"/>
      <c r="G39" s="38"/>
      <c r="H39" s="38"/>
      <c r="I39" s="38"/>
    </row>
    <row r="40" spans="1:9">
      <c r="A40" s="38"/>
      <c r="B40" s="38"/>
      <c r="C40" s="38"/>
      <c r="D40" s="38"/>
      <c r="E40" s="38"/>
      <c r="F40" s="38"/>
      <c r="G40" s="38"/>
      <c r="H40" s="38"/>
      <c r="I40" s="38"/>
    </row>
  </sheetData>
  <sheetProtection algorithmName="SHA-256" hashValue="y9iheUyDVUfaAQXr5I2KbUEbHmAL5KRqpLkXiT9oWFg=" saltValue="Mr6bU22OvHhcqoLG6Pod6Q==" spinCount="100000" sheet="1" objects="1" scenarios="1"/>
  <mergeCells count="5">
    <mergeCell ref="A12:I12"/>
    <mergeCell ref="A2:I2"/>
    <mergeCell ref="A4:I4"/>
    <mergeCell ref="A5:I5"/>
    <mergeCell ref="A7:I7"/>
  </mergeCells>
  <hyperlinks>
    <hyperlink ref="A9" r:id="rId1" display="https://wwwdev.cdc.gov/drugresistance/LAARC/registration.html" xr:uid="{48242D60-E514-4926-A4FC-EEDD0F1721E6}"/>
    <hyperlink ref="A9:I9" r:id="rId2" display="https://www.cdc.gov/drugresistance/intl-activities/registration.html" xr:uid="{430A05EE-77D6-4140-819B-8C7620C4D312}"/>
    <hyperlink ref="A14" r:id="rId3" display="https://www.cdc.gov/drugresistance/intl-activities/laarc.html" xr:uid="{22784B9B-FE6B-4BEA-8D8E-B976CF7F145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
  <sheetViews>
    <sheetView topLeftCell="A56" zoomScaleNormal="100" zoomScalePageLayoutView="90" workbookViewId="0">
      <selection activeCell="B123" sqref="B123"/>
    </sheetView>
  </sheetViews>
  <sheetFormatPr defaultColWidth="11" defaultRowHeight="15.6"/>
  <cols>
    <col min="1" max="1" width="5.5" customWidth="1"/>
    <col min="2" max="2" width="50.5" customWidth="1"/>
  </cols>
  <sheetData>
    <row r="1" spans="2:2">
      <c r="B1" s="11"/>
    </row>
  </sheetData>
  <sheetProtection algorithmName="SHA-256" hashValue="WqTO6Lvab0j5kU8N3vw01e6yk6YbmGUWJ5B0WpegF9g=" saltValue="e8R1NdB/kKc5/Q/CgtcS7Q==" spinCount="100000" sheet="1" objects="1" scenarios="1"/>
  <phoneticPr fontId="45" type="noConversion"/>
  <pageMargins left="0.70000000000000007" right="0.70000000000000007" top="0.75000000000000011" bottom="0.75000000000000011" header="0.30000000000000004" footer="0.30000000000000004"/>
  <pageSetup paperSize="9" scale="80" fitToHeight="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P75"/>
  <sheetViews>
    <sheetView showGridLines="0" topLeftCell="A90" zoomScale="85" zoomScaleNormal="85" zoomScaleSheetLayoutView="100" zoomScalePageLayoutView="80" workbookViewId="0">
      <selection activeCell="B4" sqref="B4"/>
    </sheetView>
  </sheetViews>
  <sheetFormatPr defaultColWidth="8.69921875" defaultRowHeight="15.6"/>
  <cols>
    <col min="1" max="1" width="4.19921875" customWidth="1"/>
    <col min="2" max="2" width="9.69921875" customWidth="1"/>
    <col min="10" max="10" width="2.69921875" style="52" customWidth="1"/>
    <col min="11" max="11" width="10" customWidth="1"/>
  </cols>
  <sheetData>
    <row r="1" spans="1:1">
      <c r="A1" s="339" t="str">
        <f>Language!A35</f>
        <v>Figure for use with Facility Module, question 1.13</v>
      </c>
    </row>
    <row r="2" spans="1:1">
      <c r="A2" s="277" t="str">
        <f>Language!A36</f>
        <v>McFarland QC Standards in front of a Wickerham card</v>
      </c>
    </row>
    <row r="26" spans="1:10">
      <c r="J26"/>
    </row>
    <row r="27" spans="1:10">
      <c r="A27" s="1" t="str">
        <f>Language!A23</f>
        <v>Figure for use with AST QC Module, questions 7.7 - 7.11</v>
      </c>
      <c r="J27"/>
    </row>
    <row r="28" spans="1:10">
      <c r="A28" t="str">
        <f>Language!A24</f>
        <v>Workflow for subculturing and using reference strains</v>
      </c>
      <c r="J28"/>
    </row>
    <row r="29" spans="1:10">
      <c r="A29" t="str">
        <f>Language!A25</f>
        <v>as described in CLSI M02, Subchapter 4.4</v>
      </c>
      <c r="J29"/>
    </row>
    <row r="30" spans="1:10">
      <c r="A30" t="str">
        <f>Language!A26</f>
        <v>"F" indicates the frozen or freeze-dried state of the stock culture</v>
      </c>
      <c r="J30"/>
    </row>
    <row r="31" spans="1:10">
      <c r="A31" t="str">
        <f>Language!A27</f>
        <v>"1" indicates the first passage</v>
      </c>
      <c r="J31"/>
    </row>
    <row r="32" spans="1:10">
      <c r="A32" t="str">
        <f>Language!A28</f>
        <v>"2" indicates the second passage</v>
      </c>
      <c r="J32"/>
    </row>
    <row r="33" spans="1:16">
      <c r="A33" t="str">
        <f>Language!A29</f>
        <v>"3" indicates the third passage from stock culture</v>
      </c>
      <c r="J33"/>
    </row>
    <row r="34" spans="1:16">
      <c r="J34"/>
    </row>
    <row r="35" spans="1:16">
      <c r="A35" s="1" t="str">
        <f>Language!A21</f>
        <v>Tables for use with AST Expert Rules Module, questions 12.7 - 12.25</v>
      </c>
    </row>
    <row r="36" spans="1:16" ht="16.2" thickBot="1">
      <c r="A36" s="269"/>
      <c r="B36" s="269" t="str">
        <f>Language!A22</f>
        <v>Current CLSI and EUCAST breakpoints for Salmonella spp, Enterobacterales, Acinetobacter spp, and Pseudomonas aeruginosa</v>
      </c>
    </row>
    <row r="37" spans="1:16" ht="16.2" thickBot="1">
      <c r="B37" s="565" t="s">
        <v>3882</v>
      </c>
      <c r="C37" s="566"/>
      <c r="D37" s="569" t="s">
        <v>5354</v>
      </c>
      <c r="E37" s="570"/>
      <c r="F37" s="570"/>
      <c r="G37" s="570"/>
      <c r="H37" s="570"/>
      <c r="I37" s="570"/>
      <c r="J37" s="142"/>
      <c r="K37" s="571" t="s">
        <v>3882</v>
      </c>
      <c r="L37" s="566"/>
      <c r="M37" s="569" t="s">
        <v>5355</v>
      </c>
      <c r="N37" s="570"/>
      <c r="O37" s="570"/>
      <c r="P37" s="573"/>
    </row>
    <row r="38" spans="1:16" ht="16.2" thickBot="1">
      <c r="B38" s="567"/>
      <c r="C38" s="568"/>
      <c r="D38" s="569" t="s">
        <v>5356</v>
      </c>
      <c r="E38" s="570"/>
      <c r="F38" s="573"/>
      <c r="G38" s="569" t="s">
        <v>5357</v>
      </c>
      <c r="H38" s="570"/>
      <c r="I38" s="570"/>
      <c r="J38" s="142"/>
      <c r="K38" s="572"/>
      <c r="L38" s="568"/>
      <c r="M38" s="569" t="s">
        <v>5356</v>
      </c>
      <c r="N38" s="573"/>
      <c r="O38" s="569" t="s">
        <v>5357</v>
      </c>
      <c r="P38" s="573"/>
    </row>
    <row r="39" spans="1:16" ht="16.2" thickBot="1">
      <c r="B39" s="134"/>
      <c r="C39" s="357" t="s">
        <v>5358</v>
      </c>
      <c r="D39" s="135" t="s">
        <v>5359</v>
      </c>
      <c r="E39" s="135" t="s">
        <v>5360</v>
      </c>
      <c r="F39" s="135" t="s">
        <v>5361</v>
      </c>
      <c r="G39" s="135" t="s">
        <v>5359</v>
      </c>
      <c r="H39" s="135" t="s">
        <v>5360</v>
      </c>
      <c r="I39" s="133" t="s">
        <v>5361</v>
      </c>
      <c r="J39" s="142"/>
      <c r="K39" s="135"/>
      <c r="L39" s="357" t="s">
        <v>5358</v>
      </c>
      <c r="M39" s="135" t="s">
        <v>5359</v>
      </c>
      <c r="N39" s="135" t="s">
        <v>5361</v>
      </c>
      <c r="O39" s="135" t="s">
        <v>5359</v>
      </c>
      <c r="P39" s="135" t="s">
        <v>5361</v>
      </c>
    </row>
    <row r="40" spans="1:16" ht="16.2" thickBot="1">
      <c r="B40" s="136" t="s">
        <v>5362</v>
      </c>
      <c r="C40" s="137">
        <v>5</v>
      </c>
      <c r="D40" s="138" t="s">
        <v>5363</v>
      </c>
      <c r="E40" s="137" t="s">
        <v>5364</v>
      </c>
      <c r="F40" s="138" t="s">
        <v>5365</v>
      </c>
      <c r="G40" s="138" t="s">
        <v>5366</v>
      </c>
      <c r="H40" s="137" t="s">
        <v>5367</v>
      </c>
      <c r="I40" s="140" t="s">
        <v>5368</v>
      </c>
      <c r="J40" s="143"/>
      <c r="K40" s="139" t="s">
        <v>5362</v>
      </c>
      <c r="L40" s="137" t="s">
        <v>5369</v>
      </c>
      <c r="M40" s="138" t="s">
        <v>5363</v>
      </c>
      <c r="N40" s="137" t="s">
        <v>5370</v>
      </c>
      <c r="O40" s="137" t="s">
        <v>5369</v>
      </c>
      <c r="P40" s="137" t="s">
        <v>5369</v>
      </c>
    </row>
    <row r="41" spans="1:16" ht="16.2" thickBot="1">
      <c r="B41" s="136" t="s">
        <v>5371</v>
      </c>
      <c r="C41" s="137" t="s">
        <v>5369</v>
      </c>
      <c r="D41" s="138" t="s">
        <v>5372</v>
      </c>
      <c r="E41" s="137" t="s">
        <v>5373</v>
      </c>
      <c r="F41" s="138" t="s">
        <v>5374</v>
      </c>
      <c r="G41" s="137" t="s">
        <v>5369</v>
      </c>
      <c r="H41" s="137" t="s">
        <v>5369</v>
      </c>
      <c r="I41" s="141" t="s">
        <v>5369</v>
      </c>
      <c r="J41" s="144"/>
      <c r="K41" s="139" t="s">
        <v>5371</v>
      </c>
      <c r="L41" s="137" t="s">
        <v>5369</v>
      </c>
      <c r="M41" s="137" t="s">
        <v>5369</v>
      </c>
      <c r="N41" s="137" t="s">
        <v>5369</v>
      </c>
      <c r="O41" s="137" t="s">
        <v>5369</v>
      </c>
      <c r="P41" s="137" t="s">
        <v>5369</v>
      </c>
    </row>
    <row r="42" spans="1:16" ht="24.6" thickBot="1">
      <c r="B42" s="136" t="s">
        <v>5375</v>
      </c>
      <c r="C42" s="137">
        <v>5</v>
      </c>
      <c r="D42" s="137" t="s">
        <v>5369</v>
      </c>
      <c r="E42" s="137" t="s">
        <v>5369</v>
      </c>
      <c r="F42" s="137" t="s">
        <v>5369</v>
      </c>
      <c r="G42" s="138" t="s">
        <v>5376</v>
      </c>
      <c r="H42" s="137" t="s">
        <v>5369</v>
      </c>
      <c r="I42" s="140" t="s">
        <v>5377</v>
      </c>
      <c r="J42" s="143"/>
      <c r="K42" s="139" t="s">
        <v>5375</v>
      </c>
      <c r="L42" s="137">
        <v>5</v>
      </c>
      <c r="M42" s="137" t="s">
        <v>5369</v>
      </c>
      <c r="N42" s="137" t="s">
        <v>5369</v>
      </c>
      <c r="O42" s="138" t="s">
        <v>5376</v>
      </c>
      <c r="P42" s="137" t="s">
        <v>5378</v>
      </c>
    </row>
    <row r="43" spans="1:16" ht="16.2" thickBot="1">
      <c r="B43" s="556"/>
      <c r="I43" s="308"/>
      <c r="J43" s="309"/>
      <c r="K43" s="308"/>
    </row>
    <row r="44" spans="1:16" ht="16.2" thickBot="1">
      <c r="B44" s="565" t="s">
        <v>5379</v>
      </c>
      <c r="C44" s="566"/>
      <c r="D44" s="569" t="s">
        <v>5354</v>
      </c>
      <c r="E44" s="570"/>
      <c r="F44" s="570"/>
      <c r="G44" s="570"/>
      <c r="H44" s="570"/>
      <c r="I44" s="570"/>
      <c r="J44" s="142"/>
      <c r="K44" s="571" t="s">
        <v>5379</v>
      </c>
      <c r="L44" s="566"/>
      <c r="M44" s="569" t="s">
        <v>5355</v>
      </c>
      <c r="N44" s="570"/>
      <c r="O44" s="570"/>
      <c r="P44" s="573"/>
    </row>
    <row r="45" spans="1:16" ht="16.2" thickBot="1">
      <c r="B45" s="567"/>
      <c r="C45" s="568"/>
      <c r="D45" s="569" t="s">
        <v>5356</v>
      </c>
      <c r="E45" s="570"/>
      <c r="F45" s="573"/>
      <c r="G45" s="569" t="s">
        <v>5357</v>
      </c>
      <c r="H45" s="570"/>
      <c r="I45" s="570"/>
      <c r="J45" s="142"/>
      <c r="K45" s="572"/>
      <c r="L45" s="568"/>
      <c r="M45" s="569" t="s">
        <v>5356</v>
      </c>
      <c r="N45" s="573"/>
      <c r="O45" s="569" t="s">
        <v>5357</v>
      </c>
      <c r="P45" s="573"/>
    </row>
    <row r="46" spans="1:16" ht="16.2" thickBot="1">
      <c r="B46" s="134"/>
      <c r="C46" s="357" t="s">
        <v>5358</v>
      </c>
      <c r="D46" s="135" t="s">
        <v>5359</v>
      </c>
      <c r="E46" s="135" t="s">
        <v>5380</v>
      </c>
      <c r="F46" s="135" t="s">
        <v>5361</v>
      </c>
      <c r="G46" s="135" t="s">
        <v>5359</v>
      </c>
      <c r="H46" s="135" t="s">
        <v>5380</v>
      </c>
      <c r="I46" s="133" t="s">
        <v>5361</v>
      </c>
      <c r="J46" s="142"/>
      <c r="K46" s="135"/>
      <c r="L46" s="357" t="s">
        <v>5358</v>
      </c>
      <c r="M46" s="135" t="s">
        <v>5359</v>
      </c>
      <c r="N46" s="135" t="s">
        <v>5361</v>
      </c>
      <c r="O46" s="135" t="s">
        <v>5359</v>
      </c>
      <c r="P46" s="135" t="s">
        <v>5361</v>
      </c>
    </row>
    <row r="47" spans="1:16" ht="16.2" thickBot="1">
      <c r="B47" s="136" t="s">
        <v>5381</v>
      </c>
      <c r="C47" s="137">
        <v>30</v>
      </c>
      <c r="D47" s="138" t="s">
        <v>5382</v>
      </c>
      <c r="E47" s="137">
        <v>8</v>
      </c>
      <c r="F47" s="138" t="s">
        <v>5383</v>
      </c>
      <c r="G47" s="138" t="s">
        <v>5384</v>
      </c>
      <c r="H47" s="137" t="s">
        <v>5385</v>
      </c>
      <c r="I47" s="140" t="s">
        <v>5386</v>
      </c>
      <c r="J47" s="143"/>
      <c r="K47" s="139" t="s">
        <v>5381</v>
      </c>
      <c r="L47" s="137">
        <v>30</v>
      </c>
      <c r="M47" s="138" t="s">
        <v>5387</v>
      </c>
      <c r="N47" s="137" t="s">
        <v>5388</v>
      </c>
      <c r="O47" s="138" t="s">
        <v>5389</v>
      </c>
      <c r="P47" s="137" t="s">
        <v>5390</v>
      </c>
    </row>
    <row r="48" spans="1:16" ht="16.2" thickBot="1">
      <c r="B48" s="136" t="s">
        <v>4954</v>
      </c>
      <c r="C48" s="137">
        <v>30</v>
      </c>
      <c r="D48" s="138" t="s">
        <v>5387</v>
      </c>
      <c r="E48" s="137">
        <v>2</v>
      </c>
      <c r="F48" s="138" t="s">
        <v>5391</v>
      </c>
      <c r="G48" s="138" t="s">
        <v>5389</v>
      </c>
      <c r="H48" s="137" t="s">
        <v>5392</v>
      </c>
      <c r="I48" s="140" t="s">
        <v>5393</v>
      </c>
      <c r="J48" s="143"/>
      <c r="K48" s="139" t="s">
        <v>4954</v>
      </c>
      <c r="L48" s="137">
        <v>5</v>
      </c>
      <c r="M48" s="138" t="s">
        <v>5387</v>
      </c>
      <c r="N48" s="137" t="s">
        <v>5394</v>
      </c>
      <c r="O48" s="138" t="s">
        <v>5395</v>
      </c>
      <c r="P48" s="137" t="s">
        <v>5396</v>
      </c>
    </row>
    <row r="49" spans="2:16" ht="16.2" thickBot="1">
      <c r="B49" s="136" t="s">
        <v>4957</v>
      </c>
      <c r="C49" s="137">
        <v>30</v>
      </c>
      <c r="D49" s="138" t="s">
        <v>5387</v>
      </c>
      <c r="E49" s="137">
        <v>2</v>
      </c>
      <c r="F49" s="138" t="s">
        <v>5391</v>
      </c>
      <c r="G49" s="138" t="s">
        <v>5397</v>
      </c>
      <c r="H49" s="137" t="s">
        <v>5398</v>
      </c>
      <c r="I49" s="140" t="s">
        <v>5399</v>
      </c>
      <c r="J49" s="143"/>
      <c r="K49" s="139" t="s">
        <v>4957</v>
      </c>
      <c r="L49" s="137">
        <v>30</v>
      </c>
      <c r="M49" s="138" t="s">
        <v>5387</v>
      </c>
      <c r="N49" s="137" t="s">
        <v>5394</v>
      </c>
      <c r="O49" s="138" t="s">
        <v>5400</v>
      </c>
      <c r="P49" s="137" t="s">
        <v>5401</v>
      </c>
    </row>
    <row r="50" spans="2:16" ht="16.2" thickBot="1">
      <c r="B50" s="136" t="s">
        <v>5402</v>
      </c>
      <c r="C50" s="137">
        <v>30</v>
      </c>
      <c r="D50" s="138" t="s">
        <v>5382</v>
      </c>
      <c r="E50" s="137">
        <v>8</v>
      </c>
      <c r="F50" s="138" t="s">
        <v>5383</v>
      </c>
      <c r="G50" s="138" t="s">
        <v>5384</v>
      </c>
      <c r="H50" s="137" t="s">
        <v>5385</v>
      </c>
      <c r="I50" s="140" t="s">
        <v>5386</v>
      </c>
      <c r="J50" s="143"/>
      <c r="K50" s="139" t="s">
        <v>5402</v>
      </c>
      <c r="L50" s="137">
        <v>10</v>
      </c>
      <c r="M50" s="138" t="s">
        <v>5387</v>
      </c>
      <c r="N50" s="137" t="s">
        <v>5388</v>
      </c>
      <c r="O50" s="138" t="s">
        <v>5403</v>
      </c>
      <c r="P50" s="137" t="s">
        <v>5404</v>
      </c>
    </row>
    <row r="51" spans="2:16" ht="16.2" thickBot="1">
      <c r="B51" s="136" t="s">
        <v>4962</v>
      </c>
      <c r="C51" s="137">
        <v>30</v>
      </c>
      <c r="D51" s="138" t="s">
        <v>5405</v>
      </c>
      <c r="E51" s="155" t="s">
        <v>5406</v>
      </c>
      <c r="F51" s="138" t="s">
        <v>5383</v>
      </c>
      <c r="G51" s="138" t="s">
        <v>5400</v>
      </c>
      <c r="H51" s="137" t="s">
        <v>5407</v>
      </c>
      <c r="I51" s="140" t="s">
        <v>5408</v>
      </c>
      <c r="J51" s="143"/>
      <c r="K51" s="139" t="s">
        <v>4962</v>
      </c>
      <c r="L51" s="137">
        <v>30</v>
      </c>
      <c r="M51" s="138" t="s">
        <v>5387</v>
      </c>
      <c r="N51" s="137" t="s">
        <v>5388</v>
      </c>
      <c r="O51" s="138" t="s">
        <v>5409</v>
      </c>
      <c r="P51" s="137" t="s">
        <v>5378</v>
      </c>
    </row>
    <row r="52" spans="2:16" ht="16.2" thickBot="1">
      <c r="B52" s="136" t="s">
        <v>4968</v>
      </c>
      <c r="C52" s="137">
        <v>10</v>
      </c>
      <c r="D52" s="138" t="s">
        <v>5387</v>
      </c>
      <c r="E52" s="137">
        <v>2</v>
      </c>
      <c r="F52" s="138" t="s">
        <v>5391</v>
      </c>
      <c r="G52" s="138" t="s">
        <v>5397</v>
      </c>
      <c r="H52" s="137" t="s">
        <v>5398</v>
      </c>
      <c r="I52" s="140" t="s">
        <v>5399</v>
      </c>
      <c r="J52" s="143"/>
      <c r="K52" s="139" t="s">
        <v>4968</v>
      </c>
      <c r="L52" s="137">
        <v>10</v>
      </c>
      <c r="M52" s="138" t="s">
        <v>5405</v>
      </c>
      <c r="N52" s="137" t="s">
        <v>5388</v>
      </c>
      <c r="O52" s="138" t="s">
        <v>5403</v>
      </c>
      <c r="P52" s="137" t="s">
        <v>5396</v>
      </c>
    </row>
    <row r="53" spans="2:16" ht="16.2" thickBot="1">
      <c r="B53" s="136" t="s">
        <v>4966</v>
      </c>
      <c r="C53" s="137">
        <v>10</v>
      </c>
      <c r="D53" s="138" t="s">
        <v>5387</v>
      </c>
      <c r="E53" s="137">
        <v>2</v>
      </c>
      <c r="F53" s="138" t="s">
        <v>5391</v>
      </c>
      <c r="G53" s="138" t="s">
        <v>5397</v>
      </c>
      <c r="H53" s="137" t="s">
        <v>5398</v>
      </c>
      <c r="I53" s="140" t="s">
        <v>5399</v>
      </c>
      <c r="J53" s="143"/>
      <c r="K53" s="139" t="s">
        <v>4966</v>
      </c>
      <c r="L53" s="137">
        <v>10</v>
      </c>
      <c r="M53" s="138" t="s">
        <v>5405</v>
      </c>
      <c r="N53" s="137" t="s">
        <v>5410</v>
      </c>
      <c r="O53" s="138" t="s">
        <v>5403</v>
      </c>
      <c r="P53" s="137" t="s">
        <v>5411</v>
      </c>
    </row>
    <row r="54" spans="2:16" ht="16.2" thickBot="1">
      <c r="B54" s="136" t="s">
        <v>5412</v>
      </c>
      <c r="C54" s="137">
        <v>10</v>
      </c>
      <c r="D54" s="138" t="s">
        <v>5387</v>
      </c>
      <c r="E54" s="137">
        <v>2</v>
      </c>
      <c r="F54" s="138" t="s">
        <v>5391</v>
      </c>
      <c r="G54" s="138" t="s">
        <v>5397</v>
      </c>
      <c r="H54" s="137" t="s">
        <v>5398</v>
      </c>
      <c r="I54" s="140" t="s">
        <v>5399</v>
      </c>
      <c r="J54" s="143"/>
      <c r="K54" s="139" t="s">
        <v>5412</v>
      </c>
      <c r="L54" s="137" t="s">
        <v>5369</v>
      </c>
      <c r="M54" s="137" t="s">
        <v>5369</v>
      </c>
      <c r="N54" s="137" t="s">
        <v>5369</v>
      </c>
      <c r="O54" s="137" t="s">
        <v>5369</v>
      </c>
      <c r="P54" s="137" t="s">
        <v>5369</v>
      </c>
    </row>
    <row r="55" spans="2:16" ht="16.2" thickBot="1">
      <c r="B55" s="136" t="s">
        <v>4964</v>
      </c>
      <c r="C55" s="137">
        <v>10</v>
      </c>
      <c r="D55" s="138" t="s">
        <v>5413</v>
      </c>
      <c r="E55" s="137">
        <v>1</v>
      </c>
      <c r="F55" s="138" t="s">
        <v>5374</v>
      </c>
      <c r="G55" s="138" t="s">
        <v>5403</v>
      </c>
      <c r="H55" s="137" t="s">
        <v>5414</v>
      </c>
      <c r="I55" s="140" t="s">
        <v>5408</v>
      </c>
      <c r="J55" s="143"/>
      <c r="K55" s="139" t="s">
        <v>4964</v>
      </c>
      <c r="L55" s="137">
        <v>10</v>
      </c>
      <c r="M55" s="138" t="s">
        <v>5413</v>
      </c>
      <c r="N55" s="137" t="s">
        <v>5415</v>
      </c>
      <c r="O55" s="138" t="s">
        <v>5400</v>
      </c>
      <c r="P55" s="137" t="s">
        <v>5416</v>
      </c>
    </row>
    <row r="56" spans="2:16" ht="16.2" thickBot="1">
      <c r="B56" s="358" t="s">
        <v>5417</v>
      </c>
      <c r="I56" s="308"/>
      <c r="J56" s="309"/>
      <c r="K56" s="308"/>
    </row>
    <row r="57" spans="2:16" ht="16.2" thickBot="1">
      <c r="B57" s="565" t="s">
        <v>5062</v>
      </c>
      <c r="C57" s="566"/>
      <c r="D57" s="569" t="s">
        <v>5354</v>
      </c>
      <c r="E57" s="570"/>
      <c r="F57" s="570"/>
      <c r="G57" s="570"/>
      <c r="H57" s="570"/>
      <c r="I57" s="570"/>
      <c r="J57" s="142"/>
      <c r="K57" s="571" t="s">
        <v>5062</v>
      </c>
      <c r="L57" s="566"/>
      <c r="M57" s="569" t="s">
        <v>5355</v>
      </c>
      <c r="N57" s="570"/>
      <c r="O57" s="570"/>
      <c r="P57" s="573"/>
    </row>
    <row r="58" spans="2:16" ht="16.2" thickBot="1">
      <c r="B58" s="567"/>
      <c r="C58" s="568"/>
      <c r="D58" s="569" t="s">
        <v>5356</v>
      </c>
      <c r="E58" s="570"/>
      <c r="F58" s="573"/>
      <c r="G58" s="569" t="s">
        <v>5357</v>
      </c>
      <c r="H58" s="570"/>
      <c r="I58" s="570"/>
      <c r="J58" s="142"/>
      <c r="K58" s="572"/>
      <c r="L58" s="568"/>
      <c r="M58" s="569" t="s">
        <v>5356</v>
      </c>
      <c r="N58" s="573"/>
      <c r="O58" s="569" t="s">
        <v>5357</v>
      </c>
      <c r="P58" s="573"/>
    </row>
    <row r="59" spans="2:16" ht="16.2" thickBot="1">
      <c r="B59" s="134"/>
      <c r="C59" s="357" t="s">
        <v>5358</v>
      </c>
      <c r="D59" s="135" t="s">
        <v>5359</v>
      </c>
      <c r="E59" s="135" t="s">
        <v>5360</v>
      </c>
      <c r="F59" s="135" t="s">
        <v>5361</v>
      </c>
      <c r="G59" s="135" t="s">
        <v>5359</v>
      </c>
      <c r="H59" s="135" t="s">
        <v>5360</v>
      </c>
      <c r="I59" s="133" t="s">
        <v>5361</v>
      </c>
      <c r="J59" s="142"/>
      <c r="K59" s="135"/>
      <c r="L59" s="357" t="s">
        <v>5358</v>
      </c>
      <c r="M59" s="135" t="s">
        <v>5359</v>
      </c>
      <c r="N59" s="135" t="s">
        <v>5361</v>
      </c>
      <c r="O59" s="135" t="s">
        <v>5359</v>
      </c>
      <c r="P59" s="135" t="s">
        <v>5361</v>
      </c>
    </row>
    <row r="60" spans="2:16" ht="16.2" thickBot="1">
      <c r="B60" s="136" t="s">
        <v>4968</v>
      </c>
      <c r="C60" s="137">
        <v>10</v>
      </c>
      <c r="D60" s="138" t="s">
        <v>5405</v>
      </c>
      <c r="E60" s="137">
        <v>4</v>
      </c>
      <c r="F60" s="138" t="s">
        <v>5418</v>
      </c>
      <c r="G60" s="138" t="s">
        <v>5403</v>
      </c>
      <c r="H60" s="137" t="s">
        <v>5414</v>
      </c>
      <c r="I60" s="140" t="s">
        <v>5408</v>
      </c>
      <c r="J60" s="143"/>
      <c r="K60" s="139" t="s">
        <v>4968</v>
      </c>
      <c r="L60" s="137">
        <v>10</v>
      </c>
      <c r="M60" s="138" t="s">
        <v>5405</v>
      </c>
      <c r="N60" s="137" t="s">
        <v>5388</v>
      </c>
      <c r="O60" s="138" t="s">
        <v>5376</v>
      </c>
      <c r="P60" s="137" t="s">
        <v>5390</v>
      </c>
    </row>
    <row r="61" spans="2:16" ht="16.2" thickBot="1">
      <c r="B61" s="136" t="s">
        <v>4966</v>
      </c>
      <c r="C61" s="137">
        <v>10</v>
      </c>
      <c r="D61" s="138" t="s">
        <v>5405</v>
      </c>
      <c r="E61" s="137">
        <v>4</v>
      </c>
      <c r="F61" s="138" t="s">
        <v>5418</v>
      </c>
      <c r="G61" s="138" t="s">
        <v>5419</v>
      </c>
      <c r="H61" s="137" t="s">
        <v>5420</v>
      </c>
      <c r="I61" s="140" t="s">
        <v>5421</v>
      </c>
      <c r="J61" s="143"/>
      <c r="K61" s="139" t="s">
        <v>4966</v>
      </c>
      <c r="L61" s="137">
        <v>10</v>
      </c>
      <c r="M61" s="138" t="s">
        <v>5405</v>
      </c>
      <c r="N61" s="137" t="s">
        <v>5410</v>
      </c>
      <c r="O61" s="138" t="s">
        <v>5384</v>
      </c>
      <c r="P61" s="137" t="s">
        <v>5422</v>
      </c>
    </row>
    <row r="62" spans="2:16" ht="16.2" thickBot="1">
      <c r="B62" s="136" t="s">
        <v>5412</v>
      </c>
      <c r="C62" s="137">
        <v>10</v>
      </c>
      <c r="D62" s="138" t="s">
        <v>5405</v>
      </c>
      <c r="E62" s="137">
        <v>4</v>
      </c>
      <c r="F62" s="138" t="s">
        <v>5418</v>
      </c>
      <c r="G62" s="138" t="s">
        <v>5419</v>
      </c>
      <c r="H62" s="137" t="s">
        <v>5420</v>
      </c>
      <c r="I62" s="140" t="s">
        <v>5421</v>
      </c>
      <c r="J62" s="143"/>
      <c r="K62" s="139" t="s">
        <v>5412</v>
      </c>
      <c r="L62" s="137" t="s">
        <v>5369</v>
      </c>
      <c r="M62" s="137" t="s">
        <v>5369</v>
      </c>
      <c r="N62" s="137" t="s">
        <v>5369</v>
      </c>
      <c r="O62" s="137" t="s">
        <v>5369</v>
      </c>
      <c r="P62" s="137" t="s">
        <v>5369</v>
      </c>
    </row>
    <row r="63" spans="2:16" ht="16.2" thickBot="1">
      <c r="B63" s="358"/>
      <c r="I63" s="308"/>
      <c r="J63" s="309"/>
      <c r="K63" s="308"/>
    </row>
    <row r="64" spans="2:16" ht="16.2" thickBot="1">
      <c r="B64" s="565" t="s">
        <v>5063</v>
      </c>
      <c r="C64" s="566"/>
      <c r="D64" s="569" t="s">
        <v>5354</v>
      </c>
      <c r="E64" s="570"/>
      <c r="F64" s="570"/>
      <c r="G64" s="570"/>
      <c r="H64" s="570"/>
      <c r="I64" s="570"/>
      <c r="J64" s="142"/>
      <c r="K64" s="571" t="s">
        <v>5063</v>
      </c>
      <c r="L64" s="566"/>
      <c r="M64" s="569" t="s">
        <v>5423</v>
      </c>
      <c r="N64" s="570"/>
      <c r="O64" s="570"/>
      <c r="P64" s="573"/>
    </row>
    <row r="65" spans="2:16" ht="16.2" thickBot="1">
      <c r="B65" s="567"/>
      <c r="C65" s="568"/>
      <c r="D65" s="569" t="s">
        <v>5356</v>
      </c>
      <c r="E65" s="570"/>
      <c r="F65" s="573"/>
      <c r="G65" s="569" t="s">
        <v>5357</v>
      </c>
      <c r="H65" s="570"/>
      <c r="I65" s="570"/>
      <c r="J65" s="142"/>
      <c r="K65" s="572"/>
      <c r="L65" s="568"/>
      <c r="M65" s="569" t="s">
        <v>5356</v>
      </c>
      <c r="N65" s="573"/>
      <c r="O65" s="569" t="s">
        <v>5357</v>
      </c>
      <c r="P65" s="573"/>
    </row>
    <row r="66" spans="2:16" ht="16.2" thickBot="1">
      <c r="B66" s="134"/>
      <c r="C66" s="357" t="s">
        <v>5358</v>
      </c>
      <c r="D66" s="135" t="s">
        <v>5359</v>
      </c>
      <c r="E66" s="135" t="s">
        <v>5360</v>
      </c>
      <c r="F66" s="135" t="s">
        <v>5361</v>
      </c>
      <c r="G66" s="135" t="s">
        <v>5359</v>
      </c>
      <c r="H66" s="135" t="s">
        <v>5360</v>
      </c>
      <c r="I66" s="133" t="s">
        <v>5361</v>
      </c>
      <c r="J66" s="142"/>
      <c r="K66" s="135"/>
      <c r="L66" s="357" t="s">
        <v>5358</v>
      </c>
      <c r="M66" s="135" t="s">
        <v>5359</v>
      </c>
      <c r="N66" s="135" t="s">
        <v>5361</v>
      </c>
      <c r="O66" s="135" t="s">
        <v>5359</v>
      </c>
      <c r="P66" s="135" t="s">
        <v>5361</v>
      </c>
    </row>
    <row r="67" spans="2:16" ht="16.2" thickBot="1">
      <c r="B67" s="136" t="s">
        <v>5381</v>
      </c>
      <c r="C67" s="137">
        <v>30</v>
      </c>
      <c r="D67" s="138" t="s">
        <v>5424</v>
      </c>
      <c r="E67" s="137">
        <v>16</v>
      </c>
      <c r="F67" s="138" t="s">
        <v>5425</v>
      </c>
      <c r="G67" s="138" t="s">
        <v>5403</v>
      </c>
      <c r="H67" s="137" t="s">
        <v>5426</v>
      </c>
      <c r="I67" s="140" t="s">
        <v>5427</v>
      </c>
      <c r="J67" s="143"/>
      <c r="K67" s="139" t="s">
        <v>5381</v>
      </c>
      <c r="L67" s="137">
        <v>30</v>
      </c>
      <c r="M67" s="138" t="s">
        <v>5428</v>
      </c>
      <c r="N67" s="137" t="s">
        <v>5429</v>
      </c>
      <c r="O67" s="138" t="s">
        <v>5419</v>
      </c>
      <c r="P67" s="137" t="s">
        <v>5430</v>
      </c>
    </row>
    <row r="68" spans="2:16" ht="16.2" thickBot="1">
      <c r="B68" s="136" t="s">
        <v>5431</v>
      </c>
      <c r="C68" s="137">
        <v>100</v>
      </c>
      <c r="D68" s="138" t="s">
        <v>5428</v>
      </c>
      <c r="E68" s="137" t="s">
        <v>5432</v>
      </c>
      <c r="F68" s="138" t="s">
        <v>5433</v>
      </c>
      <c r="G68" s="138" t="s">
        <v>5384</v>
      </c>
      <c r="H68" s="137" t="s">
        <v>5434</v>
      </c>
      <c r="I68" s="140" t="s">
        <v>5421</v>
      </c>
      <c r="J68" s="143"/>
      <c r="K68" s="139" t="s">
        <v>5431</v>
      </c>
      <c r="L68" s="137">
        <v>30</v>
      </c>
      <c r="M68" s="138" t="s">
        <v>5428</v>
      </c>
      <c r="N68" s="137" t="s">
        <v>5429</v>
      </c>
      <c r="O68" s="138" t="s">
        <v>5419</v>
      </c>
      <c r="P68" s="137" t="s">
        <v>5430</v>
      </c>
    </row>
    <row r="69" spans="2:16" ht="16.2" thickBot="1">
      <c r="B69" s="136" t="s">
        <v>5435</v>
      </c>
      <c r="C69" s="137" t="s">
        <v>5436</v>
      </c>
      <c r="D69" s="138" t="s">
        <v>5428</v>
      </c>
      <c r="E69" s="137" t="s">
        <v>5432</v>
      </c>
      <c r="F69" s="138" t="s">
        <v>5433</v>
      </c>
      <c r="G69" s="138" t="s">
        <v>5384</v>
      </c>
      <c r="H69" s="137" t="s">
        <v>5434</v>
      </c>
      <c r="I69" s="140" t="s">
        <v>5421</v>
      </c>
      <c r="J69" s="143"/>
      <c r="K69" s="139" t="s">
        <v>5435</v>
      </c>
      <c r="L69" s="137" t="s">
        <v>5437</v>
      </c>
      <c r="M69" s="138" t="s">
        <v>5428</v>
      </c>
      <c r="N69" s="137" t="s">
        <v>5429</v>
      </c>
      <c r="O69" s="138" t="s">
        <v>5419</v>
      </c>
      <c r="P69" s="137" t="s">
        <v>5430</v>
      </c>
    </row>
    <row r="70" spans="2:16" ht="16.2" thickBot="1">
      <c r="B70" s="136" t="s">
        <v>5438</v>
      </c>
      <c r="C70" s="137" t="s">
        <v>5439</v>
      </c>
      <c r="D70" s="138" t="s">
        <v>5428</v>
      </c>
      <c r="E70" s="137" t="s">
        <v>5432</v>
      </c>
      <c r="F70" s="138" t="s">
        <v>5433</v>
      </c>
      <c r="G70" s="138" t="s">
        <v>5376</v>
      </c>
      <c r="H70" s="137" t="s">
        <v>5440</v>
      </c>
      <c r="I70" s="140" t="s">
        <v>5427</v>
      </c>
      <c r="J70" s="143"/>
      <c r="K70" s="139" t="s">
        <v>5438</v>
      </c>
      <c r="L70" s="137" t="s">
        <v>5439</v>
      </c>
      <c r="M70" s="138" t="s">
        <v>5428</v>
      </c>
      <c r="N70" s="137" t="s">
        <v>5429</v>
      </c>
      <c r="O70" s="138" t="s">
        <v>5419</v>
      </c>
      <c r="P70" s="137" t="s">
        <v>5430</v>
      </c>
    </row>
    <row r="71" spans="2:16" ht="16.2" thickBot="1">
      <c r="B71" s="136" t="s">
        <v>4962</v>
      </c>
      <c r="C71" s="137">
        <v>30</v>
      </c>
      <c r="D71" s="138" t="s">
        <v>5424</v>
      </c>
      <c r="E71" s="137">
        <v>16</v>
      </c>
      <c r="F71" s="138" t="s">
        <v>5425</v>
      </c>
      <c r="G71" s="138" t="s">
        <v>5419</v>
      </c>
      <c r="H71" s="137" t="s">
        <v>5420</v>
      </c>
      <c r="I71" s="140" t="s">
        <v>5421</v>
      </c>
      <c r="J71" s="143"/>
      <c r="K71" s="139" t="s">
        <v>4962</v>
      </c>
      <c r="L71" s="137">
        <v>30</v>
      </c>
      <c r="M71" s="138" t="s">
        <v>5424</v>
      </c>
      <c r="N71" s="137" t="s">
        <v>5410</v>
      </c>
      <c r="O71" s="138" t="s">
        <v>5384</v>
      </c>
      <c r="P71" s="137" t="s">
        <v>5390</v>
      </c>
    </row>
    <row r="72" spans="2:16" ht="16.2" thickBot="1">
      <c r="B72" s="136" t="s">
        <v>4968</v>
      </c>
      <c r="C72" s="137">
        <v>10</v>
      </c>
      <c r="D72" s="138" t="s">
        <v>5405</v>
      </c>
      <c r="E72" s="137">
        <v>4</v>
      </c>
      <c r="F72" s="138" t="s">
        <v>5418</v>
      </c>
      <c r="G72" s="138" t="s">
        <v>5441</v>
      </c>
      <c r="H72" s="137" t="s">
        <v>5442</v>
      </c>
      <c r="I72" s="140" t="s">
        <v>5427</v>
      </c>
      <c r="J72" s="143"/>
      <c r="K72" s="139" t="s">
        <v>4968</v>
      </c>
      <c r="L72" s="137">
        <v>10</v>
      </c>
      <c r="M72" s="138" t="s">
        <v>5382</v>
      </c>
      <c r="N72" s="137" t="s">
        <v>5388</v>
      </c>
      <c r="O72" s="138" t="s">
        <v>5395</v>
      </c>
      <c r="P72" s="137" t="s">
        <v>5443</v>
      </c>
    </row>
    <row r="73" spans="2:16" ht="16.2" thickBot="1">
      <c r="B73" s="136" t="s">
        <v>4966</v>
      </c>
      <c r="C73" s="137">
        <v>10</v>
      </c>
      <c r="D73" s="138" t="s">
        <v>5405</v>
      </c>
      <c r="E73" s="137">
        <v>4</v>
      </c>
      <c r="F73" s="138" t="s">
        <v>5418</v>
      </c>
      <c r="G73" s="138" t="s">
        <v>5441</v>
      </c>
      <c r="H73" s="137" t="s">
        <v>5442</v>
      </c>
      <c r="I73" s="140" t="s">
        <v>5427</v>
      </c>
      <c r="J73" s="143"/>
      <c r="K73" s="139" t="s">
        <v>4966</v>
      </c>
      <c r="L73" s="137">
        <v>10</v>
      </c>
      <c r="M73" s="138" t="s">
        <v>5405</v>
      </c>
      <c r="N73" s="137" t="s">
        <v>5410</v>
      </c>
      <c r="O73" s="138" t="s">
        <v>5376</v>
      </c>
      <c r="P73" s="137" t="s">
        <v>5430</v>
      </c>
    </row>
    <row r="74" spans="2:16" ht="16.2" thickBot="1">
      <c r="B74" s="136" t="s">
        <v>5412</v>
      </c>
      <c r="C74" s="137">
        <v>10</v>
      </c>
      <c r="D74" s="138" t="s">
        <v>5405</v>
      </c>
      <c r="E74" s="137">
        <v>4</v>
      </c>
      <c r="F74" s="138" t="s">
        <v>5418</v>
      </c>
      <c r="G74" s="138" t="s">
        <v>5441</v>
      </c>
      <c r="H74" s="137" t="s">
        <v>5442</v>
      </c>
      <c r="I74" s="140" t="s">
        <v>5427</v>
      </c>
      <c r="J74" s="143"/>
      <c r="K74" s="139" t="s">
        <v>5412</v>
      </c>
      <c r="L74" s="137" t="s">
        <v>5369</v>
      </c>
      <c r="M74" s="137" t="s">
        <v>5369</v>
      </c>
      <c r="N74" s="137" t="s">
        <v>5369</v>
      </c>
      <c r="O74" s="137" t="s">
        <v>5369</v>
      </c>
      <c r="P74" s="137" t="s">
        <v>5369</v>
      </c>
    </row>
    <row r="75" spans="2:16">
      <c r="B75" s="264"/>
      <c r="C75" s="265"/>
      <c r="D75" s="266"/>
      <c r="E75" s="265"/>
      <c r="F75" s="266"/>
      <c r="G75" s="266"/>
      <c r="H75" s="265"/>
      <c r="I75" s="266"/>
      <c r="J75" s="267"/>
      <c r="K75" s="264"/>
      <c r="L75" s="265"/>
      <c r="M75" s="265"/>
      <c r="N75" s="265"/>
      <c r="O75" s="265"/>
      <c r="P75" s="265"/>
    </row>
  </sheetData>
  <sheetProtection algorithmName="SHA-256" hashValue="QGXhUYDA207W9FpfldFbSSouaHAlkIWHrW4Ggeb5epw=" saltValue="41QQ49XweRbPv9ypSgtLQA==" spinCount="100000" sheet="1" objects="1" scenarios="1"/>
  <mergeCells count="32">
    <mergeCell ref="B37:C38"/>
    <mergeCell ref="D37:I37"/>
    <mergeCell ref="K37:L38"/>
    <mergeCell ref="M37:P37"/>
    <mergeCell ref="D38:F38"/>
    <mergeCell ref="G38:I38"/>
    <mergeCell ref="M38:N38"/>
    <mergeCell ref="O38:P38"/>
    <mergeCell ref="B44:C45"/>
    <mergeCell ref="D44:I44"/>
    <mergeCell ref="K44:L45"/>
    <mergeCell ref="M44:P44"/>
    <mergeCell ref="D45:F45"/>
    <mergeCell ref="G45:I45"/>
    <mergeCell ref="M45:N45"/>
    <mergeCell ref="O45:P45"/>
    <mergeCell ref="B57:C58"/>
    <mergeCell ref="D57:I57"/>
    <mergeCell ref="K57:L58"/>
    <mergeCell ref="M57:P57"/>
    <mergeCell ref="D58:F58"/>
    <mergeCell ref="G58:I58"/>
    <mergeCell ref="M58:N58"/>
    <mergeCell ref="O58:P58"/>
    <mergeCell ref="B64:C65"/>
    <mergeCell ref="D64:I64"/>
    <mergeCell ref="K64:L65"/>
    <mergeCell ref="M64:P64"/>
    <mergeCell ref="D65:F65"/>
    <mergeCell ref="G65:I65"/>
    <mergeCell ref="M65:N65"/>
    <mergeCell ref="O65:P65"/>
  </mergeCells>
  <phoneticPr fontId="45" type="noConversion"/>
  <pageMargins left="0.25" right="0.25" top="0.75000000000000011" bottom="0.75000000000000011" header="0.30000000000000004" footer="0.30000000000000004"/>
  <pageSetup paperSize="9" scale="74" fitToHeight="2" orientation="landscape" r:id="rId1"/>
  <headerFooter>
    <oddFooter>&amp;C&amp;A &amp;P</oddFooter>
  </headerFooter>
  <rowBreaks count="1" manualBreakCount="1">
    <brk id="34"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70C0"/>
    <pageSetUpPr fitToPage="1"/>
  </sheetPr>
  <dimension ref="A1:J234"/>
  <sheetViews>
    <sheetView zoomScaleNormal="100" zoomScalePageLayoutView="80" workbookViewId="0">
      <selection activeCell="C4" sqref="C4:G4"/>
    </sheetView>
  </sheetViews>
  <sheetFormatPr defaultColWidth="10.69921875" defaultRowHeight="13.8"/>
  <cols>
    <col min="1" max="1" width="4.19921875" style="6" customWidth="1"/>
    <col min="2" max="2" width="55.69921875" style="53" customWidth="1"/>
    <col min="3" max="3" width="5.19921875" style="9" customWidth="1"/>
    <col min="4" max="4" width="9.69921875" style="4" customWidth="1"/>
    <col min="5" max="5" width="9.69921875" style="9" customWidth="1"/>
    <col min="6" max="6" width="9.69921875" style="4" customWidth="1"/>
    <col min="7" max="7" width="29.5" style="98" customWidth="1"/>
    <col min="8" max="16384" width="10.69921875" style="4"/>
  </cols>
  <sheetData>
    <row r="1" spans="1:8" ht="15.6">
      <c r="A1" s="10"/>
      <c r="B1" s="11" t="str">
        <f>Language!A299</f>
        <v>0- GENERAL INFORMATION</v>
      </c>
      <c r="C1" s="399"/>
      <c r="D1" s="98"/>
      <c r="E1" s="400"/>
      <c r="F1" s="212"/>
    </row>
    <row r="2" spans="1:8">
      <c r="A2" s="10"/>
      <c r="C2" s="7"/>
      <c r="D2" s="7"/>
      <c r="E2" s="7"/>
      <c r="F2" s="7"/>
      <c r="G2" s="7"/>
    </row>
    <row r="3" spans="1:8">
      <c r="A3" s="160"/>
      <c r="B3" s="94" t="str">
        <f>Language!A300</f>
        <v>LABORATORY DEMOGRAPHICS</v>
      </c>
      <c r="C3" s="95"/>
      <c r="D3" s="95"/>
      <c r="E3" s="95"/>
      <c r="F3" s="95"/>
      <c r="G3" s="213"/>
    </row>
    <row r="4" spans="1:8">
      <c r="A4" s="76" t="s">
        <v>5444</v>
      </c>
      <c r="B4" s="53" t="str">
        <f>Language!A301</f>
        <v>Assessor 1 (name and affiliation)</v>
      </c>
      <c r="C4" s="591"/>
      <c r="D4" s="592"/>
      <c r="E4" s="592"/>
      <c r="F4" s="592"/>
      <c r="G4" s="593"/>
    </row>
    <row r="5" spans="1:8">
      <c r="A5" s="10" t="s">
        <v>5445</v>
      </c>
      <c r="B5" s="53" t="str">
        <f>Language!A302</f>
        <v>Assessor 2 (name and affiliation)</v>
      </c>
      <c r="C5" s="591"/>
      <c r="D5" s="592"/>
      <c r="E5" s="592"/>
      <c r="F5" s="592"/>
      <c r="G5" s="593"/>
    </row>
    <row r="6" spans="1:8">
      <c r="A6" s="10" t="s">
        <v>5446</v>
      </c>
      <c r="B6" s="53" t="str">
        <f>Language!A303</f>
        <v>Assessor 3 (name and affiliation)</v>
      </c>
      <c r="C6" s="591"/>
      <c r="D6" s="592"/>
      <c r="E6" s="592"/>
      <c r="F6" s="592"/>
      <c r="G6" s="593"/>
    </row>
    <row r="7" spans="1:8">
      <c r="A7" s="10" t="s">
        <v>5447</v>
      </c>
      <c r="B7" s="53" t="str">
        <f>Language!A304</f>
        <v>Date of assessment (dd/mm/yyyy)</v>
      </c>
      <c r="C7" s="616"/>
      <c r="D7" s="617"/>
      <c r="E7" s="617"/>
      <c r="F7" s="617"/>
      <c r="G7" s="618"/>
      <c r="H7" s="209"/>
    </row>
    <row r="8" spans="1:8">
      <c r="A8" s="10" t="s">
        <v>5448</v>
      </c>
      <c r="B8" s="53" t="str">
        <f>Language!A305</f>
        <v xml:space="preserve">Laboratory/Hospital name </v>
      </c>
      <c r="C8" s="591"/>
      <c r="D8" s="592"/>
      <c r="E8" s="592"/>
      <c r="F8" s="592"/>
      <c r="G8" s="593"/>
      <c r="H8" s="209"/>
    </row>
    <row r="9" spans="1:8">
      <c r="A9" s="10" t="s">
        <v>5449</v>
      </c>
      <c r="B9" s="53" t="str">
        <f>Language!A306</f>
        <v>Address</v>
      </c>
      <c r="C9" s="591"/>
      <c r="D9" s="592"/>
      <c r="E9" s="592"/>
      <c r="F9" s="592"/>
      <c r="G9" s="593"/>
      <c r="H9" s="61"/>
    </row>
    <row r="10" spans="1:8">
      <c r="A10" s="10" t="s">
        <v>5450</v>
      </c>
      <c r="B10" s="384" t="str">
        <f>Language!A307</f>
        <v>City</v>
      </c>
      <c r="C10" s="591"/>
      <c r="D10" s="592"/>
      <c r="E10" s="592"/>
      <c r="F10" s="592"/>
      <c r="G10" s="593"/>
    </row>
    <row r="11" spans="1:8">
      <c r="A11" s="10" t="s">
        <v>5451</v>
      </c>
      <c r="B11" s="384" t="str">
        <f>Language!A308</f>
        <v>Province</v>
      </c>
      <c r="C11" s="591"/>
      <c r="D11" s="592"/>
      <c r="E11" s="592"/>
      <c r="F11" s="592"/>
      <c r="G11" s="593"/>
    </row>
    <row r="12" spans="1:8">
      <c r="A12" s="10" t="s">
        <v>5452</v>
      </c>
      <c r="B12" s="384" t="str">
        <f>Language!A309</f>
        <v>District</v>
      </c>
      <c r="C12" s="591"/>
      <c r="D12" s="592"/>
      <c r="E12" s="592"/>
      <c r="F12" s="592"/>
      <c r="G12" s="593"/>
    </row>
    <row r="13" spans="1:8">
      <c r="A13" s="10" t="s">
        <v>5453</v>
      </c>
      <c r="B13" s="384" t="str">
        <f>Language!A310</f>
        <v>Country</v>
      </c>
      <c r="C13" s="591"/>
      <c r="D13" s="592"/>
      <c r="E13" s="592"/>
      <c r="F13" s="592"/>
      <c r="G13" s="593"/>
      <c r="H13" s="209"/>
    </row>
    <row r="14" spans="1:8">
      <c r="A14" s="10"/>
      <c r="C14" s="66"/>
      <c r="D14" s="7"/>
      <c r="E14" s="66"/>
      <c r="F14" s="7"/>
      <c r="G14" s="7"/>
    </row>
    <row r="15" spans="1:8" ht="28.95" customHeight="1" thickBot="1">
      <c r="A15" s="10"/>
      <c r="B15" s="598" t="str">
        <f>Language!A311</f>
        <v>GPS position of the laboratory (used for GIS representation of indicators). PLEASE ONLY USE DIGITAL DEGREE WITH + OR - SIGN. DO NOT USE DEGREES, MINUTES, SECONDS</v>
      </c>
      <c r="C15" s="599"/>
      <c r="D15" s="599"/>
      <c r="E15" s="599"/>
      <c r="F15" s="599"/>
      <c r="G15" s="599"/>
    </row>
    <row r="16" spans="1:8" ht="27.6">
      <c r="A16" s="10" t="s">
        <v>5454</v>
      </c>
      <c r="B16" s="384" t="str">
        <f>Language!A312</f>
        <v>For altitude, enter meters without digits.                                                   Altitude</v>
      </c>
      <c r="C16" s="600"/>
      <c r="D16" s="601"/>
      <c r="E16" s="227" t="str">
        <f>Language!A313</f>
        <v>Example: If altitude is 61.49 meters, enter 61</v>
      </c>
      <c r="F16" s="69"/>
      <c r="G16" s="7"/>
      <c r="H16" s="209"/>
    </row>
    <row r="17" spans="1:8" ht="27.6">
      <c r="A17" s="10" t="s">
        <v>5455</v>
      </c>
      <c r="B17" s="384" t="str">
        <f>Language!A314</f>
        <v>For latitude, enter digital degrees with 5 digits after the comma.           Latitude</v>
      </c>
      <c r="C17" s="608"/>
      <c r="D17" s="609"/>
      <c r="E17" s="227" t="str">
        <f>Language!A315</f>
        <v>Example: 41,40338</v>
      </c>
      <c r="F17" s="7"/>
      <c r="G17" s="7"/>
      <c r="H17" s="209"/>
    </row>
    <row r="18" spans="1:8" ht="28.2" thickBot="1">
      <c r="A18" s="10" t="s">
        <v>5456</v>
      </c>
      <c r="B18" s="384" t="str">
        <f>Language!A316</f>
        <v>For longitude, enter digital degrees with 5 digits after the comma.    Longitude</v>
      </c>
      <c r="C18" s="619"/>
      <c r="D18" s="620"/>
      <c r="E18" s="227" t="str">
        <f>Language!A317</f>
        <v>Example: -2,17403</v>
      </c>
      <c r="F18" s="7"/>
      <c r="G18" s="7"/>
      <c r="H18" s="209"/>
    </row>
    <row r="19" spans="1:8">
      <c r="A19" s="10"/>
      <c r="C19" s="7"/>
      <c r="D19" s="7"/>
      <c r="E19" s="7"/>
      <c r="F19" s="7"/>
      <c r="G19" s="7"/>
    </row>
    <row r="20" spans="1:8" ht="14.4" thickBot="1">
      <c r="A20" s="10" t="s">
        <v>5457</v>
      </c>
      <c r="B20" s="610" t="str">
        <f>Language!A318</f>
        <v>Contact information of the relevant bacteriology laboratory leadership; e.g., Director, Manager, Supervisor, Section Head, Quality Officer</v>
      </c>
      <c r="C20" s="611"/>
      <c r="D20" s="611"/>
      <c r="E20" s="611"/>
      <c r="F20" s="611"/>
      <c r="G20" s="611"/>
    </row>
    <row r="21" spans="1:8" ht="14.4" thickBot="1">
      <c r="A21" s="10"/>
      <c r="B21" s="114" t="str">
        <f>Language!A319</f>
        <v>Title/Position</v>
      </c>
      <c r="C21" s="602" t="str">
        <f>Language!A450</f>
        <v>First Name</v>
      </c>
      <c r="D21" s="603"/>
      <c r="E21" s="604" t="str">
        <f>Language!A451</f>
        <v>Last name</v>
      </c>
      <c r="F21" s="605"/>
      <c r="G21" s="217" t="str">
        <f>Language!A452</f>
        <v>Email address</v>
      </c>
    </row>
    <row r="22" spans="1:8">
      <c r="A22" s="10"/>
      <c r="B22" s="402"/>
      <c r="C22" s="594"/>
      <c r="D22" s="595"/>
      <c r="E22" s="594"/>
      <c r="F22" s="595"/>
      <c r="G22" s="403"/>
    </row>
    <row r="23" spans="1:8">
      <c r="A23" s="10"/>
      <c r="B23" s="404"/>
      <c r="C23" s="596"/>
      <c r="D23" s="597"/>
      <c r="E23" s="596"/>
      <c r="F23" s="597"/>
      <c r="G23" s="405"/>
    </row>
    <row r="24" spans="1:8">
      <c r="A24" s="10"/>
      <c r="B24" s="404"/>
      <c r="C24" s="596"/>
      <c r="D24" s="597"/>
      <c r="E24" s="596"/>
      <c r="F24" s="597"/>
      <c r="G24" s="405"/>
    </row>
    <row r="25" spans="1:8">
      <c r="A25" s="10"/>
      <c r="B25" s="404"/>
      <c r="C25" s="596"/>
      <c r="D25" s="597"/>
      <c r="E25" s="596"/>
      <c r="F25" s="597"/>
      <c r="G25" s="405"/>
    </row>
    <row r="26" spans="1:8">
      <c r="A26" s="10"/>
      <c r="B26" s="404"/>
      <c r="C26" s="596"/>
      <c r="D26" s="597"/>
      <c r="E26" s="596"/>
      <c r="F26" s="597"/>
      <c r="G26" s="405"/>
    </row>
    <row r="27" spans="1:8">
      <c r="A27" s="10"/>
      <c r="B27" s="404"/>
      <c r="C27" s="596"/>
      <c r="D27" s="597"/>
      <c r="E27" s="596"/>
      <c r="F27" s="597"/>
      <c r="G27" s="405"/>
    </row>
    <row r="28" spans="1:8">
      <c r="A28" s="10"/>
      <c r="B28" s="404"/>
      <c r="C28" s="596"/>
      <c r="D28" s="597"/>
      <c r="E28" s="596"/>
      <c r="F28" s="597"/>
      <c r="G28" s="405"/>
    </row>
    <row r="29" spans="1:8" ht="14.4" thickBot="1">
      <c r="A29" s="10"/>
      <c r="B29" s="406"/>
      <c r="C29" s="606"/>
      <c r="D29" s="607"/>
      <c r="E29" s="606"/>
      <c r="F29" s="607"/>
      <c r="G29" s="407"/>
    </row>
    <row r="30" spans="1:8">
      <c r="A30" s="10"/>
      <c r="B30" s="342"/>
      <c r="C30" s="4"/>
      <c r="D30" s="78"/>
      <c r="E30" s="4" t="s">
        <v>1597</v>
      </c>
      <c r="F30" s="78"/>
    </row>
    <row r="31" spans="1:8">
      <c r="A31" s="10" t="s">
        <v>5458</v>
      </c>
      <c r="B31" s="343" t="str">
        <f>Language!A327</f>
        <v>Primary Laboratory/Facility funding sources</v>
      </c>
      <c r="C31" s="408"/>
      <c r="D31" s="61"/>
      <c r="E31" s="583"/>
      <c r="F31" s="584"/>
      <c r="G31" s="585"/>
      <c r="H31" s="209"/>
    </row>
    <row r="32" spans="1:8">
      <c r="A32" s="10"/>
      <c r="B32" s="511" t="str">
        <f>Language!A328</f>
        <v>1. Public/Government</v>
      </c>
      <c r="D32" s="61"/>
      <c r="E32" s="61"/>
      <c r="G32" s="214"/>
    </row>
    <row r="33" spans="1:8">
      <c r="A33" s="10"/>
      <c r="B33" s="511" t="str">
        <f>Language!A329</f>
        <v>2. Private</v>
      </c>
      <c r="D33" s="61"/>
      <c r="E33" s="61"/>
    </row>
    <row r="34" spans="1:8">
      <c r="A34" s="10"/>
      <c r="B34" s="511" t="str">
        <f>Language!A330</f>
        <v>3. NGO/Faith-based/Donors</v>
      </c>
      <c r="D34" s="61"/>
      <c r="E34" s="61"/>
    </row>
    <row r="35" spans="1:8">
      <c r="A35" s="10"/>
      <c r="B35" s="511" t="str">
        <f>Language!A331</f>
        <v>4. Other</v>
      </c>
      <c r="D35" s="61"/>
      <c r="E35" s="61"/>
      <c r="F35" s="61"/>
    </row>
    <row r="36" spans="1:8">
      <c r="A36" s="10" t="s">
        <v>5459</v>
      </c>
      <c r="B36" s="343" t="str">
        <f>Language!A332</f>
        <v>Primary Laboratory affiliation</v>
      </c>
      <c r="C36" s="408"/>
      <c r="D36" s="61"/>
      <c r="E36" s="583"/>
      <c r="F36" s="584"/>
      <c r="G36" s="585"/>
      <c r="H36" s="209"/>
    </row>
    <row r="37" spans="1:8">
      <c r="A37" s="10"/>
      <c r="B37" s="511" t="str">
        <f>Language!A333</f>
        <v>1. Hospital: University Medical Center or Teaching Hospital</v>
      </c>
      <c r="D37" s="61"/>
      <c r="E37" s="61"/>
      <c r="F37" s="61"/>
    </row>
    <row r="38" spans="1:8">
      <c r="A38" s="10"/>
      <c r="B38" s="511" t="str">
        <f>Language!A334</f>
        <v>2. Hospital: Military</v>
      </c>
      <c r="D38" s="61"/>
      <c r="E38" s="61"/>
    </row>
    <row r="39" spans="1:8">
      <c r="A39" s="10"/>
      <c r="B39" s="511" t="str">
        <f>Language!A335</f>
        <v>3. Hospital: (not academic or military)</v>
      </c>
      <c r="D39" s="61"/>
      <c r="E39" s="61"/>
      <c r="F39" s="61"/>
    </row>
    <row r="40" spans="1:8">
      <c r="A40" s="10"/>
      <c r="B40" s="511" t="str">
        <f>Language!A336</f>
        <v>4. Clinic (primarily outpatient)</v>
      </c>
      <c r="D40" s="61"/>
      <c r="E40" s="61"/>
      <c r="F40" s="61"/>
    </row>
    <row r="41" spans="1:8">
      <c r="A41" s="10"/>
      <c r="B41" s="511" t="str">
        <f>Language!A337</f>
        <v>5. Reference/referral lab within a Public Health Institute</v>
      </c>
      <c r="D41" s="61"/>
      <c r="E41" s="61"/>
    </row>
    <row r="42" spans="1:8" ht="27.6">
      <c r="A42" s="10"/>
      <c r="B42" s="511" t="str">
        <f>Language!A338</f>
        <v>6. Reference/referral lab not affiliated with a single healthcare facility or public health institute</v>
      </c>
      <c r="D42" s="61"/>
      <c r="E42" s="61"/>
    </row>
    <row r="43" spans="1:8">
      <c r="A43" s="10"/>
      <c r="B43" s="511" t="str">
        <f>Language!A339</f>
        <v>7. Other, e.g., Research Laboratory</v>
      </c>
      <c r="D43" s="61"/>
      <c r="E43" s="61"/>
    </row>
    <row r="44" spans="1:8" ht="27.6" customHeight="1">
      <c r="A44" s="10" t="s">
        <v>5460</v>
      </c>
      <c r="B44" s="343" t="str">
        <f>Language!A340</f>
        <v>Laboratory/Facility Level (if primarily government funded)</v>
      </c>
      <c r="C44" s="408"/>
      <c r="D44" s="61"/>
      <c r="E44" s="583"/>
      <c r="F44" s="584"/>
      <c r="G44" s="585"/>
      <c r="H44" s="209"/>
    </row>
    <row r="45" spans="1:8">
      <c r="A45" s="10"/>
      <c r="B45" s="512" t="str">
        <f>Language!A341</f>
        <v>1. National</v>
      </c>
      <c r="D45" s="61"/>
      <c r="E45" s="61"/>
    </row>
    <row r="46" spans="1:8">
      <c r="A46" s="10"/>
      <c r="B46" s="512" t="str">
        <f>Language!A342</f>
        <v xml:space="preserve">2. Regional </v>
      </c>
      <c r="D46" s="61"/>
      <c r="E46" s="61"/>
    </row>
    <row r="47" spans="1:8">
      <c r="A47" s="10"/>
      <c r="B47" s="512" t="str">
        <f>Language!A343</f>
        <v>3. Provincial</v>
      </c>
      <c r="D47" s="61"/>
      <c r="E47" s="61"/>
    </row>
    <row r="48" spans="1:8">
      <c r="A48" s="10"/>
      <c r="B48" s="512" t="str">
        <f>Language!A344</f>
        <v>4. District</v>
      </c>
      <c r="D48" s="61"/>
      <c r="E48" s="61"/>
    </row>
    <row r="49" spans="1:8">
      <c r="A49" s="10"/>
      <c r="B49" s="512" t="str">
        <f>Language!A345</f>
        <v>5. NA</v>
      </c>
      <c r="D49" s="61"/>
      <c r="E49" s="61"/>
    </row>
    <row r="50" spans="1:8">
      <c r="A50" s="76" t="s">
        <v>5461</v>
      </c>
      <c r="B50" s="344" t="str">
        <f>Language!A346</f>
        <v>Service level of the Hospital/Healthcare Facility</v>
      </c>
      <c r="C50" s="408"/>
      <c r="D50" s="61"/>
      <c r="E50" s="583"/>
      <c r="F50" s="584"/>
      <c r="G50" s="585"/>
      <c r="H50" s="209"/>
    </row>
    <row r="51" spans="1:8">
      <c r="A51" s="76"/>
      <c r="B51" s="512" t="str">
        <f>Language!A347</f>
        <v>1. Primary</v>
      </c>
      <c r="D51" s="61"/>
      <c r="E51" s="61"/>
    </row>
    <row r="52" spans="1:8">
      <c r="A52" s="76"/>
      <c r="B52" s="512" t="str">
        <f>Language!A348</f>
        <v>2. Secondary</v>
      </c>
      <c r="D52" s="61"/>
      <c r="E52" s="61"/>
    </row>
    <row r="53" spans="1:8">
      <c r="A53" s="76"/>
      <c r="B53" s="512" t="str">
        <f>Language!A349</f>
        <v>3. Tertiary</v>
      </c>
      <c r="D53" s="61"/>
      <c r="E53" s="61"/>
    </row>
    <row r="54" spans="1:8">
      <c r="A54" s="10"/>
      <c r="B54" s="512" t="str">
        <f>Language!A350</f>
        <v>4. Other</v>
      </c>
      <c r="D54" s="61"/>
      <c r="E54" s="61"/>
    </row>
    <row r="55" spans="1:8">
      <c r="A55" s="10"/>
      <c r="B55" s="512" t="str">
        <f>Language!A351</f>
        <v>5. NA</v>
      </c>
      <c r="D55" s="61"/>
      <c r="E55" s="61"/>
    </row>
    <row r="56" spans="1:8">
      <c r="A56" s="10">
        <v>0.19</v>
      </c>
      <c r="B56" s="343" t="str">
        <f>Language!A352</f>
        <v>Number of beds of the Hospital/Healthcare Facility</v>
      </c>
      <c r="C56" s="65"/>
      <c r="D56" s="61"/>
      <c r="E56" s="583"/>
      <c r="F56" s="584"/>
      <c r="G56" s="585"/>
      <c r="H56" s="209"/>
    </row>
    <row r="57" spans="1:8">
      <c r="A57" s="10"/>
      <c r="B57" s="511" t="str">
        <f>Language!A353</f>
        <v>(&lt;100, 100-499, 500-1000, &gt;1000, NA)</v>
      </c>
      <c r="C57" s="4"/>
      <c r="D57" s="61"/>
      <c r="E57" s="4"/>
      <c r="F57" s="61"/>
    </row>
    <row r="58" spans="1:8" ht="14.4">
      <c r="A58" s="10"/>
      <c r="B58" s="210" t="str">
        <f>Language!A354</f>
        <v>Please note: all questions refer only to clinical patient specimens, NOT to environmental or research specimens</v>
      </c>
      <c r="C58" s="4"/>
      <c r="D58" s="61"/>
      <c r="E58" s="4"/>
      <c r="F58" s="61"/>
    </row>
    <row r="59" spans="1:8" s="98" customFormat="1" ht="14.4" thickBot="1">
      <c r="A59" s="201"/>
      <c r="B59" s="104" t="str">
        <f>Language!A355</f>
        <v>TEST MENU and WORKLOAD</v>
      </c>
      <c r="C59" s="96"/>
      <c r="D59" s="96"/>
      <c r="E59" s="612"/>
      <c r="F59" s="612"/>
      <c r="G59" s="612"/>
      <c r="H59" s="97"/>
    </row>
    <row r="60" spans="1:8" s="98" customFormat="1" ht="28.2" customHeight="1" thickBot="1">
      <c r="A60" s="101"/>
      <c r="B60" s="115" t="str">
        <f>Language!A356</f>
        <v>Does the lab perform the following types of culture?</v>
      </c>
      <c r="C60" s="105" t="str">
        <f>Language!A454</f>
        <v>Y/N</v>
      </c>
      <c r="D60" s="105" t="str">
        <f>Language!A455</f>
        <v xml:space="preserve"># cultures last year </v>
      </c>
      <c r="E60" s="613" t="str">
        <f>E30</f>
        <v>Comments</v>
      </c>
      <c r="F60" s="614"/>
      <c r="G60" s="615"/>
    </row>
    <row r="61" spans="1:8" s="98" customFormat="1" ht="27.45" customHeight="1">
      <c r="A61" s="101"/>
      <c r="B61" s="574" t="str">
        <f>Language!A357</f>
        <v>In the # cultures last year column, please enter the total number of cultures performed last year, both positive and negative</v>
      </c>
      <c r="C61" s="575"/>
      <c r="D61" s="575"/>
      <c r="E61" s="99"/>
      <c r="F61" s="218"/>
    </row>
    <row r="62" spans="1:8" s="98" customFormat="1">
      <c r="A62" s="76" t="s">
        <v>5462</v>
      </c>
      <c r="B62" s="482" t="str">
        <f>Language!A358</f>
        <v>Blood Cultures</v>
      </c>
      <c r="C62" s="409"/>
      <c r="D62" s="410"/>
      <c r="E62" s="583"/>
      <c r="F62" s="584"/>
      <c r="G62" s="585"/>
      <c r="H62" s="211"/>
    </row>
    <row r="63" spans="1:8" s="98" customFormat="1">
      <c r="A63" s="76" t="s">
        <v>5463</v>
      </c>
      <c r="B63" s="120" t="str">
        <f>Language!A359</f>
        <v>Urine Cultures</v>
      </c>
      <c r="C63" s="409"/>
      <c r="D63" s="410"/>
      <c r="E63" s="583"/>
      <c r="F63" s="584"/>
      <c r="G63" s="585"/>
      <c r="H63" s="211"/>
    </row>
    <row r="64" spans="1:8" s="98" customFormat="1">
      <c r="A64" s="76" t="s">
        <v>5464</v>
      </c>
      <c r="B64" s="482" t="str">
        <f>Language!A360</f>
        <v>Stool Cultures (all bacterial enteric pathogens)</v>
      </c>
      <c r="C64" s="409"/>
      <c r="D64" s="410"/>
      <c r="E64" s="583"/>
      <c r="F64" s="584"/>
      <c r="G64" s="585"/>
      <c r="H64" s="211"/>
    </row>
    <row r="65" spans="1:8" s="98" customFormat="1" ht="27.45" customHeight="1">
      <c r="A65" s="10"/>
      <c r="B65" s="576" t="str">
        <f>Language!A361</f>
        <v>Please indicate if the lab performs stool culture for the following enteric pathogens. Do not enter the number of cultures.</v>
      </c>
      <c r="C65" s="577"/>
      <c r="D65" s="577"/>
      <c r="E65" s="61"/>
      <c r="F65" s="218"/>
      <c r="G65" s="61"/>
      <c r="H65" s="211"/>
    </row>
    <row r="66" spans="1:8" s="98" customFormat="1">
      <c r="A66" s="76" t="s">
        <v>5465</v>
      </c>
      <c r="B66" s="550" t="str">
        <f>Language!A362</f>
        <v>Salmonella and/or Shigella</v>
      </c>
      <c r="C66" s="409"/>
      <c r="D66" s="243" t="s">
        <v>5466</v>
      </c>
      <c r="E66" s="583"/>
      <c r="F66" s="584"/>
      <c r="G66" s="585"/>
      <c r="H66" s="211"/>
    </row>
    <row r="67" spans="1:8" s="98" customFormat="1">
      <c r="A67" s="76" t="s">
        <v>5467</v>
      </c>
      <c r="B67" s="476" t="str">
        <f>Language!A363</f>
        <v>Vibrio cholerae</v>
      </c>
      <c r="C67" s="409"/>
      <c r="D67" s="243" t="s">
        <v>5466</v>
      </c>
      <c r="E67" s="583"/>
      <c r="F67" s="584"/>
      <c r="G67" s="585"/>
      <c r="H67" s="211"/>
    </row>
    <row r="68" spans="1:8" s="98" customFormat="1">
      <c r="A68" s="76" t="s">
        <v>5468</v>
      </c>
      <c r="B68" s="476" t="str">
        <f>Language!A364</f>
        <v>Yersinia enterocolitica</v>
      </c>
      <c r="C68" s="409"/>
      <c r="D68" s="243" t="s">
        <v>5466</v>
      </c>
      <c r="E68" s="583"/>
      <c r="F68" s="584"/>
      <c r="G68" s="585"/>
      <c r="H68" s="211"/>
    </row>
    <row r="69" spans="1:8" s="98" customFormat="1">
      <c r="A69" s="76" t="s">
        <v>5469</v>
      </c>
      <c r="B69" s="476" t="str">
        <f>Language!A365</f>
        <v>Campylobacter jejuni</v>
      </c>
      <c r="C69" s="409"/>
      <c r="D69" s="243" t="s">
        <v>5466</v>
      </c>
      <c r="E69" s="583"/>
      <c r="F69" s="584"/>
      <c r="G69" s="585"/>
      <c r="H69" s="211"/>
    </row>
    <row r="70" spans="1:8" s="98" customFormat="1">
      <c r="A70" s="76" t="s">
        <v>5470</v>
      </c>
      <c r="B70" s="550" t="str">
        <f>Language!A366</f>
        <v>Enterohemorrhagic/Enterotoxic E. coli (e.g., O157:H7)</v>
      </c>
      <c r="C70" s="409"/>
      <c r="D70" s="243" t="s">
        <v>5466</v>
      </c>
      <c r="E70" s="583"/>
      <c r="F70" s="584"/>
      <c r="G70" s="585"/>
      <c r="H70" s="211"/>
    </row>
    <row r="71" spans="1:8" s="98" customFormat="1">
      <c r="A71" s="76" t="s">
        <v>5471</v>
      </c>
      <c r="B71" s="162" t="str">
        <f>Language!A367</f>
        <v>Respiratory Cultures (not TB/AFB)</v>
      </c>
      <c r="C71" s="409"/>
      <c r="D71" s="410"/>
      <c r="E71" s="583"/>
      <c r="F71" s="584"/>
      <c r="G71" s="585"/>
      <c r="H71" s="211"/>
    </row>
    <row r="72" spans="1:8" s="98" customFormat="1">
      <c r="A72" s="76" t="s">
        <v>5472</v>
      </c>
      <c r="B72" s="162" t="str">
        <f>Language!A368</f>
        <v>Wound Cultures</v>
      </c>
      <c r="C72" s="409"/>
      <c r="D72" s="410"/>
      <c r="E72" s="583"/>
      <c r="F72" s="584"/>
      <c r="G72" s="585"/>
      <c r="H72" s="211"/>
    </row>
    <row r="73" spans="1:8" s="98" customFormat="1">
      <c r="A73" s="76" t="s">
        <v>5473</v>
      </c>
      <c r="B73" s="162" t="str">
        <f>Language!A369</f>
        <v>Cerebrospinal Fluid Cultures</v>
      </c>
      <c r="C73" s="409"/>
      <c r="D73" s="410"/>
      <c r="E73" s="583"/>
      <c r="F73" s="584"/>
      <c r="G73" s="585"/>
      <c r="H73" s="211"/>
    </row>
    <row r="74" spans="1:8" s="98" customFormat="1" ht="27.6" customHeight="1">
      <c r="A74" s="76" t="s">
        <v>5474</v>
      </c>
      <c r="B74" s="162" t="str">
        <f>Language!A370</f>
        <v>Sterile Body Fluid Cultures (pleural, pericardial, peritoneal, synovial)</v>
      </c>
      <c r="C74" s="409"/>
      <c r="D74" s="410"/>
      <c r="E74" s="583"/>
      <c r="F74" s="584"/>
      <c r="G74" s="585"/>
      <c r="H74" s="211"/>
    </row>
    <row r="75" spans="1:8" s="98" customFormat="1">
      <c r="A75" s="76" t="s">
        <v>5475</v>
      </c>
      <c r="B75" s="162" t="str">
        <f>Language!A371</f>
        <v>Genital Cultures</v>
      </c>
      <c r="C75" s="409"/>
      <c r="D75" s="410"/>
      <c r="E75" s="583"/>
      <c r="F75" s="584"/>
      <c r="G75" s="585"/>
      <c r="H75" s="211"/>
    </row>
    <row r="76" spans="1:8" s="98" customFormat="1">
      <c r="A76" s="76" t="s">
        <v>5476</v>
      </c>
      <c r="B76" s="162" t="str">
        <f>Language!A372</f>
        <v>Anaerobic Cultures</v>
      </c>
      <c r="C76" s="409"/>
      <c r="D76" s="410"/>
      <c r="E76" s="583"/>
      <c r="F76" s="584"/>
      <c r="G76" s="585"/>
      <c r="H76" s="211"/>
    </row>
    <row r="77" spans="1:8" s="98" customFormat="1">
      <c r="A77" s="76" t="s">
        <v>5477</v>
      </c>
      <c r="B77" s="162" t="str">
        <f>Language!A373</f>
        <v>Fungal Cultures (Yeast)</v>
      </c>
      <c r="C77" s="409"/>
      <c r="D77" s="410"/>
      <c r="E77" s="583"/>
      <c r="F77" s="584"/>
      <c r="G77" s="585"/>
      <c r="H77" s="211"/>
    </row>
    <row r="78" spans="1:8" s="98" customFormat="1">
      <c r="A78" s="76" t="s">
        <v>5478</v>
      </c>
      <c r="B78" s="162" t="str">
        <f>Language!A374</f>
        <v>Fungal Cultures (Mold)</v>
      </c>
      <c r="C78" s="409"/>
      <c r="D78" s="410"/>
      <c r="E78" s="583"/>
      <c r="F78" s="584"/>
      <c r="G78" s="585"/>
      <c r="H78" s="211"/>
    </row>
    <row r="79" spans="1:8" s="98" customFormat="1">
      <c r="A79" s="76" t="s">
        <v>5479</v>
      </c>
      <c r="B79" s="162" t="str">
        <f>Language!A375</f>
        <v>MRSA screen for Infection Control purposes (e.g., nares, axilla, groin)</v>
      </c>
      <c r="C79" s="409"/>
      <c r="D79" s="410"/>
      <c r="E79" s="583"/>
      <c r="F79" s="584"/>
      <c r="G79" s="585"/>
      <c r="H79" s="211"/>
    </row>
    <row r="80" spans="1:8" s="98" customFormat="1">
      <c r="A80" s="76" t="s">
        <v>5480</v>
      </c>
      <c r="B80" s="162" t="str">
        <f>Language!A376</f>
        <v>VRE screen for Infection Control purposes (e.g., rectal swab)</v>
      </c>
      <c r="C80" s="409"/>
      <c r="D80" s="410"/>
      <c r="E80" s="583"/>
      <c r="F80" s="584"/>
      <c r="G80" s="585"/>
      <c r="H80" s="211"/>
    </row>
    <row r="81" spans="1:10" s="98" customFormat="1" ht="27.6" customHeight="1">
      <c r="A81" s="76" t="s">
        <v>5481</v>
      </c>
      <c r="B81" s="162" t="str">
        <f>Language!A377</f>
        <v>CRE screen (e.g., rectal swab)</v>
      </c>
      <c r="C81" s="409"/>
      <c r="D81" s="410"/>
      <c r="E81" s="583"/>
      <c r="F81" s="584"/>
      <c r="G81" s="585"/>
      <c r="H81" s="211"/>
    </row>
    <row r="82" spans="1:10">
      <c r="A82" s="76" t="s">
        <v>5482</v>
      </c>
      <c r="B82" s="7" t="str">
        <f>Language!A378</f>
        <v>Identification and/or AST of isolates referred from other laboratories</v>
      </c>
      <c r="C82" s="409"/>
      <c r="D82" s="410"/>
      <c r="E82" s="583"/>
      <c r="F82" s="584"/>
      <c r="G82" s="585"/>
      <c r="H82" s="211"/>
    </row>
    <row r="83" spans="1:10" ht="27.6" customHeight="1">
      <c r="A83" s="76" t="s">
        <v>5483</v>
      </c>
      <c r="B83" s="7" t="str">
        <f>Language!A379</f>
        <v>Other cultures of local importance (opportunity to customize via comments)</v>
      </c>
      <c r="C83" s="409"/>
      <c r="D83" s="410"/>
      <c r="E83" s="583"/>
      <c r="F83" s="584"/>
      <c r="G83" s="585"/>
      <c r="H83" s="211"/>
    </row>
    <row r="84" spans="1:10">
      <c r="A84" s="10"/>
      <c r="B84" s="69"/>
      <c r="F84" s="61"/>
    </row>
    <row r="85" spans="1:10" customFormat="1" ht="16.2" thickBot="1">
      <c r="A85" s="159"/>
      <c r="B85" s="34" t="str">
        <f>Language!A380</f>
        <v xml:space="preserve">AST/AMR METHODS AND WORKLOAD </v>
      </c>
      <c r="C85" s="44"/>
      <c r="D85" s="44"/>
      <c r="E85" s="215"/>
      <c r="F85" s="215"/>
      <c r="G85" s="215"/>
      <c r="H85" s="26"/>
      <c r="I85" s="30"/>
      <c r="J85" s="30"/>
    </row>
    <row r="86" spans="1:10" s="98" customFormat="1" ht="21" customHeight="1" thickBot="1">
      <c r="A86" s="101"/>
      <c r="B86" s="116" t="str">
        <f>Language!A381</f>
        <v xml:space="preserve">Which manual AST methods are in use? </v>
      </c>
      <c r="C86" s="100" t="str">
        <f>Language!A454</f>
        <v>Y/N</v>
      </c>
      <c r="D86" s="346" t="str">
        <f>Language!A456</f>
        <v xml:space="preserve"># organisms last year </v>
      </c>
      <c r="E86" s="581" t="str">
        <f>E60</f>
        <v>Comments</v>
      </c>
      <c r="F86" s="581"/>
      <c r="G86" s="582"/>
    </row>
    <row r="87" spans="1:10" s="98" customFormat="1" ht="27.45" customHeight="1">
      <c r="A87" s="16"/>
      <c r="B87" s="574" t="str">
        <f>Language!A382</f>
        <v>In the # organisms last year column, please enter the approximate number of organisms tested using each method, not the number of antibiotics tested</v>
      </c>
      <c r="C87" s="575"/>
      <c r="D87" s="575"/>
      <c r="E87" s="99"/>
      <c r="F87" s="61"/>
    </row>
    <row r="88" spans="1:10" customFormat="1" ht="15.6">
      <c r="A88" s="76" t="s">
        <v>5484</v>
      </c>
      <c r="B88" s="37" t="str">
        <f>Language!A383</f>
        <v>Disk diffusion</v>
      </c>
      <c r="C88" s="244"/>
      <c r="D88" s="411"/>
      <c r="E88" s="578"/>
      <c r="F88" s="579"/>
      <c r="G88" s="580"/>
      <c r="H88" s="211"/>
      <c r="I88" s="98"/>
      <c r="J88" s="98"/>
    </row>
    <row r="89" spans="1:10" customFormat="1" ht="15.6">
      <c r="A89" s="76" t="s">
        <v>5485</v>
      </c>
      <c r="B89" s="37" t="str">
        <f>Language!A384</f>
        <v>Gradient Strip (e.g., Etest/Liofilchem)</v>
      </c>
      <c r="C89" s="244"/>
      <c r="D89" s="411"/>
      <c r="E89" s="578"/>
      <c r="F89" s="579"/>
      <c r="G89" s="580"/>
      <c r="H89" s="211"/>
      <c r="I89" s="98"/>
      <c r="J89" s="98"/>
    </row>
    <row r="90" spans="1:10" customFormat="1" ht="15.6">
      <c r="A90" s="76" t="s">
        <v>5486</v>
      </c>
      <c r="B90" s="37" t="str">
        <f>Language!A385</f>
        <v>Broth microdilution (96-well tray)</v>
      </c>
      <c r="C90" s="244"/>
      <c r="D90" s="411"/>
      <c r="E90" s="578"/>
      <c r="F90" s="579"/>
      <c r="G90" s="580"/>
      <c r="H90" s="211"/>
      <c r="I90" s="98"/>
      <c r="J90" s="98"/>
    </row>
    <row r="91" spans="1:10" customFormat="1" ht="15.6">
      <c r="A91" s="76" t="s">
        <v>5487</v>
      </c>
      <c r="B91" s="37" t="str">
        <f>Language!A386</f>
        <v>Broth macrodilultion (tube method)</v>
      </c>
      <c r="C91" s="244"/>
      <c r="D91" s="411"/>
      <c r="E91" s="578"/>
      <c r="F91" s="579"/>
      <c r="G91" s="580"/>
      <c r="H91" s="211"/>
      <c r="I91" s="98"/>
      <c r="J91" s="98"/>
    </row>
    <row r="92" spans="1:10" customFormat="1" ht="15.6">
      <c r="A92" s="76" t="s">
        <v>5488</v>
      </c>
      <c r="B92" s="37" t="str">
        <f>Language!A387</f>
        <v>Agar dilution</v>
      </c>
      <c r="C92" s="244"/>
      <c r="D92" s="411"/>
      <c r="E92" s="578"/>
      <c r="F92" s="579"/>
      <c r="G92" s="580"/>
      <c r="H92" s="211"/>
      <c r="I92" s="98"/>
      <c r="J92" s="98"/>
    </row>
    <row r="93" spans="1:10" customFormat="1" ht="16.2" thickBot="1">
      <c r="A93" s="10"/>
      <c r="B93" s="20"/>
      <c r="E93" s="150"/>
      <c r="F93" s="219"/>
      <c r="G93" s="98"/>
      <c r="H93" s="5"/>
      <c r="I93" s="98"/>
      <c r="J93" s="98"/>
    </row>
    <row r="94" spans="1:10" s="98" customFormat="1" ht="25.2" customHeight="1" thickBot="1">
      <c r="A94" s="10"/>
      <c r="B94" s="116" t="str">
        <f>Language!A388</f>
        <v xml:space="preserve">Which automated AST methods are in use? </v>
      </c>
      <c r="C94" s="100" t="str">
        <f>Language!A454</f>
        <v>Y/N</v>
      </c>
      <c r="D94" s="346" t="str">
        <f>D86</f>
        <v xml:space="preserve"># organisms last year </v>
      </c>
      <c r="E94" s="581" t="str">
        <f>E86</f>
        <v>Comments</v>
      </c>
      <c r="F94" s="581"/>
      <c r="G94" s="582"/>
    </row>
    <row r="95" spans="1:10" s="98" customFormat="1" ht="27.45" customHeight="1">
      <c r="A95" s="16"/>
      <c r="B95" s="574" t="str">
        <f>Language!A389</f>
        <v>In the # organisms last year column, please enter the approximate number of organisms tested using each method, not the number of antibiotics tested</v>
      </c>
      <c r="C95" s="575"/>
      <c r="D95" s="575"/>
      <c r="E95" s="99"/>
      <c r="F95" s="99"/>
      <c r="G95" s="99"/>
    </row>
    <row r="96" spans="1:10" customFormat="1" ht="15.6">
      <c r="A96" s="118" t="s">
        <v>5489</v>
      </c>
      <c r="B96" s="37" t="str">
        <f>Language!A390</f>
        <v>Vitek</v>
      </c>
      <c r="C96" s="244"/>
      <c r="D96" s="411"/>
      <c r="E96" s="578"/>
      <c r="F96" s="579"/>
      <c r="G96" s="580"/>
      <c r="H96" s="211"/>
      <c r="I96" s="98"/>
      <c r="J96" s="98"/>
    </row>
    <row r="97" spans="1:10" customFormat="1" ht="15.6">
      <c r="A97" s="118" t="s">
        <v>5490</v>
      </c>
      <c r="B97" s="37" t="str">
        <f>Language!A391</f>
        <v>Phoenix</v>
      </c>
      <c r="C97" s="244"/>
      <c r="D97" s="411"/>
      <c r="E97" s="578"/>
      <c r="F97" s="579"/>
      <c r="G97" s="580"/>
      <c r="H97" s="211"/>
      <c r="I97" s="98"/>
      <c r="J97" s="98"/>
    </row>
    <row r="98" spans="1:10" customFormat="1" ht="15.6">
      <c r="A98" s="118" t="s">
        <v>5491</v>
      </c>
      <c r="B98" s="37" t="str">
        <f>Language!A392</f>
        <v>Microscan</v>
      </c>
      <c r="C98" s="244"/>
      <c r="D98" s="411"/>
      <c r="E98" s="578"/>
      <c r="F98" s="579"/>
      <c r="G98" s="580"/>
      <c r="H98" s="211"/>
      <c r="I98" s="98"/>
      <c r="J98" s="98"/>
    </row>
    <row r="99" spans="1:10" customFormat="1" ht="15.6">
      <c r="A99" s="118" t="s">
        <v>5492</v>
      </c>
      <c r="B99" s="37" t="str">
        <f>Language!A393</f>
        <v>Other, please specify in comments.</v>
      </c>
      <c r="C99" s="244"/>
      <c r="D99" s="411"/>
      <c r="E99" s="578"/>
      <c r="F99" s="579"/>
      <c r="G99" s="580"/>
      <c r="H99" s="211"/>
      <c r="I99" s="98"/>
      <c r="J99" s="98"/>
    </row>
    <row r="100" spans="1:10" customFormat="1" ht="16.2" thickBot="1">
      <c r="A100" s="10"/>
      <c r="B100" s="20"/>
      <c r="E100" s="150"/>
      <c r="F100" s="220"/>
      <c r="G100" s="150"/>
      <c r="H100" s="5"/>
      <c r="I100" s="98"/>
      <c r="J100" s="98"/>
    </row>
    <row r="101" spans="1:10" s="98" customFormat="1" ht="28.2" customHeight="1" thickBot="1">
      <c r="A101" s="10"/>
      <c r="B101" s="116" t="str">
        <f>Language!A394</f>
        <v>Does the lab use chromagar to detect antibiotic resistant organisms?</v>
      </c>
      <c r="C101" s="100" t="str">
        <f>Language!A454</f>
        <v>Y/N</v>
      </c>
      <c r="D101" s="346" t="str">
        <f>D86</f>
        <v xml:space="preserve"># organisms last year </v>
      </c>
      <c r="E101" s="581" t="str">
        <f>E94</f>
        <v>Comments</v>
      </c>
      <c r="F101" s="581"/>
      <c r="G101" s="582"/>
    </row>
    <row r="102" spans="1:10" s="98" customFormat="1">
      <c r="A102" s="16"/>
      <c r="B102" s="574" t="str">
        <f>Language!A395</f>
        <v>In the # organisms last year column, please enter the approximate number of organisms tested using each method</v>
      </c>
      <c r="C102" s="575"/>
      <c r="D102" s="575"/>
      <c r="E102" s="99"/>
      <c r="F102" s="221"/>
      <c r="G102" s="99"/>
    </row>
    <row r="103" spans="1:10" customFormat="1" ht="15.6">
      <c r="A103" s="76" t="s">
        <v>5493</v>
      </c>
      <c r="B103" s="37" t="str">
        <f>Language!A396</f>
        <v>ESBL producers</v>
      </c>
      <c r="C103" s="244"/>
      <c r="D103" s="411"/>
      <c r="E103" s="578"/>
      <c r="F103" s="579"/>
      <c r="G103" s="580"/>
      <c r="H103" s="211"/>
      <c r="I103" s="98"/>
      <c r="J103" s="98"/>
    </row>
    <row r="104" spans="1:10" customFormat="1" ht="15.6">
      <c r="A104" s="76" t="s">
        <v>5494</v>
      </c>
      <c r="B104" s="37" t="str">
        <f>Language!A397</f>
        <v>CRE/Carbapenemases</v>
      </c>
      <c r="C104" s="244"/>
      <c r="D104" s="411"/>
      <c r="E104" s="578"/>
      <c r="F104" s="579"/>
      <c r="G104" s="580"/>
      <c r="H104" s="211"/>
      <c r="I104" s="98"/>
      <c r="J104" s="4"/>
    </row>
    <row r="105" spans="1:10" customFormat="1" ht="15.6">
      <c r="A105" s="76" t="s">
        <v>5495</v>
      </c>
      <c r="B105" s="37" t="str">
        <f>Language!A398</f>
        <v>MRSA</v>
      </c>
      <c r="C105" s="244"/>
      <c r="D105" s="411"/>
      <c r="E105" s="578"/>
      <c r="F105" s="579"/>
      <c r="G105" s="580"/>
      <c r="H105" s="211"/>
      <c r="I105" s="98"/>
      <c r="J105" s="4"/>
    </row>
    <row r="106" spans="1:10" customFormat="1" ht="15.6">
      <c r="A106" s="76" t="s">
        <v>5496</v>
      </c>
      <c r="B106" s="37" t="str">
        <f>Language!A399</f>
        <v>VRE</v>
      </c>
      <c r="C106" s="244"/>
      <c r="D106" s="411"/>
      <c r="E106" s="578"/>
      <c r="F106" s="579"/>
      <c r="G106" s="580"/>
      <c r="H106" s="211"/>
      <c r="I106" s="98"/>
      <c r="J106" s="98"/>
    </row>
    <row r="107" spans="1:10" customFormat="1" ht="15.6">
      <c r="A107" s="76" t="s">
        <v>5497</v>
      </c>
      <c r="B107" s="37" t="str">
        <f>Language!A400</f>
        <v>Colistin resistance</v>
      </c>
      <c r="C107" s="244"/>
      <c r="D107" s="411"/>
      <c r="E107" s="578"/>
      <c r="F107" s="579"/>
      <c r="G107" s="580"/>
      <c r="H107" s="211"/>
      <c r="I107" s="98"/>
      <c r="J107" s="98"/>
    </row>
    <row r="108" spans="1:10" customFormat="1" ht="15.6">
      <c r="A108" s="76" t="s">
        <v>5498</v>
      </c>
      <c r="B108" s="37" t="str">
        <f>Language!A401</f>
        <v>Other, please specify in comments.</v>
      </c>
      <c r="C108" s="244"/>
      <c r="D108" s="411"/>
      <c r="E108" s="578"/>
      <c r="F108" s="579"/>
      <c r="G108" s="580"/>
      <c r="H108" s="211"/>
      <c r="I108" s="98"/>
      <c r="J108" s="98"/>
    </row>
    <row r="109" spans="1:10" ht="14.4" thickBot="1">
      <c r="A109" s="10"/>
      <c r="C109" s="4"/>
      <c r="E109" s="98"/>
      <c r="F109" s="222"/>
      <c r="I109" s="98"/>
    </row>
    <row r="110" spans="1:10" s="98" customFormat="1" ht="28.2" customHeight="1" thickBot="1">
      <c r="A110" s="10"/>
      <c r="B110" s="116" t="str">
        <f>Language!A402</f>
        <v>Does the lab use PCR to detect antibiotic resistance genes?</v>
      </c>
      <c r="C110" s="100" t="str">
        <f>Language!A454</f>
        <v>Y/N</v>
      </c>
      <c r="D110" s="346" t="str">
        <f>D86</f>
        <v xml:space="preserve"># organisms last year </v>
      </c>
      <c r="E110" s="581" t="str">
        <f>E101</f>
        <v>Comments</v>
      </c>
      <c r="F110" s="581"/>
      <c r="G110" s="582"/>
    </row>
    <row r="111" spans="1:10" s="98" customFormat="1">
      <c r="A111" s="16"/>
      <c r="B111" s="574" t="str">
        <f>Language!A403</f>
        <v>In the #/year column, please enter the approximate number of organisms tested using each method</v>
      </c>
      <c r="C111" s="575"/>
      <c r="D111" s="575"/>
      <c r="E111" s="99"/>
      <c r="F111" s="221"/>
      <c r="G111" s="99"/>
    </row>
    <row r="112" spans="1:10" customFormat="1" ht="15.6">
      <c r="A112" s="76" t="s">
        <v>5499</v>
      </c>
      <c r="B112" s="37" t="str">
        <f>Language!A404</f>
        <v>ESBLs</v>
      </c>
      <c r="C112" s="244"/>
      <c r="D112" s="411"/>
      <c r="E112" s="578"/>
      <c r="F112" s="579"/>
      <c r="G112" s="580"/>
      <c r="H112" s="211"/>
      <c r="I112" s="98"/>
      <c r="J112" s="98"/>
    </row>
    <row r="113" spans="1:10" customFormat="1" ht="15.6">
      <c r="A113" s="76" t="s">
        <v>5500</v>
      </c>
      <c r="B113" s="37" t="str">
        <f>Language!A405</f>
        <v>Carbapenemases</v>
      </c>
      <c r="C113" s="244"/>
      <c r="D113" s="411"/>
      <c r="E113" s="578"/>
      <c r="F113" s="579"/>
      <c r="G113" s="580"/>
      <c r="H113" s="211"/>
      <c r="I113" s="98"/>
      <c r="J113" s="4"/>
    </row>
    <row r="114" spans="1:10" customFormat="1" ht="15.6">
      <c r="A114" s="76" t="s">
        <v>5501</v>
      </c>
      <c r="B114" s="37" t="str">
        <f>Language!A406</f>
        <v xml:space="preserve">mecA </v>
      </c>
      <c r="C114" s="244"/>
      <c r="D114" s="411"/>
      <c r="E114" s="578"/>
      <c r="F114" s="579"/>
      <c r="G114" s="580"/>
      <c r="H114" s="211"/>
      <c r="I114" s="98"/>
      <c r="J114" s="4"/>
    </row>
    <row r="115" spans="1:10" customFormat="1" ht="15.6">
      <c r="A115" s="76" t="s">
        <v>5502</v>
      </c>
      <c r="B115" s="37" t="str">
        <f>Language!A407</f>
        <v>vanA/vanB</v>
      </c>
      <c r="C115" s="244"/>
      <c r="D115" s="411"/>
      <c r="E115" s="578"/>
      <c r="F115" s="579"/>
      <c r="G115" s="580"/>
      <c r="H115" s="211"/>
      <c r="I115" s="98"/>
      <c r="J115" s="98"/>
    </row>
    <row r="116" spans="1:10" customFormat="1" ht="15.6">
      <c r="A116" s="76" t="s">
        <v>5503</v>
      </c>
      <c r="B116" s="37" t="str">
        <f>Language!A408</f>
        <v>mcr-1</v>
      </c>
      <c r="C116" s="244"/>
      <c r="D116" s="411"/>
      <c r="E116" s="578"/>
      <c r="F116" s="579"/>
      <c r="G116" s="580"/>
      <c r="H116" s="211"/>
      <c r="I116" s="98"/>
      <c r="J116" s="98"/>
    </row>
    <row r="117" spans="1:10" customFormat="1" ht="15.6">
      <c r="A117" s="76" t="s">
        <v>5504</v>
      </c>
      <c r="B117" s="37" t="str">
        <f>Language!A409</f>
        <v>Other, please specify in comments.</v>
      </c>
      <c r="C117" s="244"/>
      <c r="D117" s="411"/>
      <c r="E117" s="578"/>
      <c r="F117" s="579"/>
      <c r="G117" s="580"/>
      <c r="H117" s="211"/>
      <c r="I117" s="98"/>
      <c r="J117" s="98"/>
    </row>
    <row r="118" spans="1:10" customFormat="1" ht="16.2" thickBot="1">
      <c r="A118" s="10"/>
      <c r="B118" s="20"/>
      <c r="F118" s="223"/>
      <c r="H118" s="5"/>
      <c r="I118" s="98"/>
      <c r="J118" s="98"/>
    </row>
    <row r="119" spans="1:10" customFormat="1" ht="16.2" thickBot="1">
      <c r="A119" s="159"/>
      <c r="B119" s="112" t="str">
        <f>Language!A410</f>
        <v>LABORATORY STAFF EDUCATION/TRAINING</v>
      </c>
      <c r="C119" s="80"/>
      <c r="D119" s="80"/>
      <c r="E119" s="216"/>
      <c r="F119" s="216"/>
      <c r="G119" s="216"/>
      <c r="H119" s="5"/>
      <c r="I119" s="29"/>
      <c r="J119" s="18"/>
    </row>
    <row r="120" spans="1:10" customFormat="1" ht="41.55" customHeight="1">
      <c r="A120" s="16"/>
      <c r="B120" s="24" t="str">
        <f>Language!A411</f>
        <v xml:space="preserve">Among laboratory leadership and the technical staff in bacteriology, indicate the number that fall into each training level category. </v>
      </c>
      <c r="C120" s="106" t="str">
        <f>Language!A454</f>
        <v>Y/N</v>
      </c>
      <c r="D120" s="347" t="str">
        <f>Language!A457</f>
        <v># staff</v>
      </c>
      <c r="E120" s="590" t="str">
        <f>E110</f>
        <v>Comments</v>
      </c>
      <c r="F120" s="590"/>
      <c r="G120" s="590"/>
      <c r="H120" s="5"/>
      <c r="I120" s="29"/>
      <c r="J120" s="98"/>
    </row>
    <row r="121" spans="1:10" customFormat="1" ht="27.6" customHeight="1">
      <c r="A121" s="76" t="s">
        <v>5505</v>
      </c>
      <c r="B121" s="20" t="str">
        <f>Language!A412</f>
        <v>Advanced degree in Medical Microbiology or Medical Laboratory Sciences (PhD, MD, equivalent)</v>
      </c>
      <c r="C121" s="244"/>
      <c r="D121" s="412"/>
      <c r="E121" s="578"/>
      <c r="F121" s="579"/>
      <c r="G121" s="580"/>
      <c r="H121" s="5"/>
      <c r="I121" s="4"/>
      <c r="J121" s="98"/>
    </row>
    <row r="122" spans="1:10" customFormat="1" ht="15.6">
      <c r="A122" s="76" t="s">
        <v>5506</v>
      </c>
      <c r="B122" s="20" t="str">
        <f>Language!A413</f>
        <v>Advanced degree, other concentration (PhD, MD, equivalent)</v>
      </c>
      <c r="C122" s="244"/>
      <c r="D122" s="412"/>
      <c r="E122" s="578"/>
      <c r="F122" s="579"/>
      <c r="G122" s="580"/>
      <c r="H122" s="5"/>
      <c r="I122" s="4"/>
      <c r="J122" s="4"/>
    </row>
    <row r="123" spans="1:10" customFormat="1" ht="27.6">
      <c r="A123" s="76" t="s">
        <v>5507</v>
      </c>
      <c r="B123" s="20" t="str">
        <f>Language!A414</f>
        <v>Postgraduate Master's degree in Microbiology or Medical Laboratory Sciences</v>
      </c>
      <c r="C123" s="244"/>
      <c r="D123" s="412"/>
      <c r="E123" s="578"/>
      <c r="F123" s="579"/>
      <c r="G123" s="580"/>
      <c r="H123" s="5"/>
      <c r="I123" s="4"/>
      <c r="J123" s="4"/>
    </row>
    <row r="124" spans="1:10" customFormat="1" ht="15.6">
      <c r="A124" s="76" t="s">
        <v>5508</v>
      </c>
      <c r="B124" s="20" t="str">
        <f>Language!A415</f>
        <v>Postgraduate Master's degree, other concentration</v>
      </c>
      <c r="C124" s="244"/>
      <c r="D124" s="412"/>
      <c r="E124" s="578"/>
      <c r="F124" s="579"/>
      <c r="G124" s="580"/>
      <c r="H124" s="5"/>
      <c r="I124" s="4"/>
      <c r="J124" s="4"/>
    </row>
    <row r="125" spans="1:10" customFormat="1" ht="15.6">
      <c r="A125" s="76" t="s">
        <v>5509</v>
      </c>
      <c r="B125" s="20" t="str">
        <f>Language!A416</f>
        <v>Graduate Bachelor's degree in Microbiology or Medical Laboratory Sciences</v>
      </c>
      <c r="C125" s="244"/>
      <c r="D125" s="412"/>
      <c r="E125" s="578"/>
      <c r="F125" s="579"/>
      <c r="G125" s="580"/>
      <c r="H125" s="5"/>
      <c r="I125" s="4"/>
      <c r="J125" s="4"/>
    </row>
    <row r="126" spans="1:10" customFormat="1" ht="15.6">
      <c r="A126" s="76" t="s">
        <v>5510</v>
      </c>
      <c r="B126" s="20" t="str">
        <f>Language!A417</f>
        <v>Graduate Bachelor's degree, other concentration</v>
      </c>
      <c r="C126" s="244"/>
      <c r="D126" s="412"/>
      <c r="E126" s="578"/>
      <c r="F126" s="579"/>
      <c r="G126" s="580"/>
      <c r="H126" s="5"/>
      <c r="I126" s="4"/>
      <c r="J126" s="4"/>
    </row>
    <row r="127" spans="1:10" customFormat="1" ht="27.6" customHeight="1">
      <c r="A127" s="76" t="s">
        <v>5511</v>
      </c>
      <c r="B127" s="20" t="str">
        <f>Language!A418</f>
        <v>Undergraduate Certificate or Diploma in Microbiology or Medical Laboratory Sciences</v>
      </c>
      <c r="C127" s="244"/>
      <c r="D127" s="412"/>
      <c r="E127" s="578"/>
      <c r="F127" s="579"/>
      <c r="G127" s="580"/>
      <c r="H127" s="5"/>
      <c r="I127" s="4"/>
      <c r="J127" s="4"/>
    </row>
    <row r="128" spans="1:10" customFormat="1" ht="15.6">
      <c r="A128" s="76" t="s">
        <v>5512</v>
      </c>
      <c r="B128" s="20" t="str">
        <f>Language!A419</f>
        <v>Undergraduate Certificate or Diploma, other concentration</v>
      </c>
      <c r="C128" s="244"/>
      <c r="D128" s="412"/>
      <c r="E128" s="578"/>
      <c r="F128" s="579"/>
      <c r="G128" s="580"/>
      <c r="H128" s="5"/>
      <c r="I128" s="29"/>
      <c r="J128" s="18"/>
    </row>
    <row r="129" spans="1:10" customFormat="1" ht="15.6">
      <c r="A129" s="76" t="s">
        <v>5513</v>
      </c>
      <c r="B129" s="20" t="str">
        <f>Language!A420</f>
        <v>High school/Secondary school diploma</v>
      </c>
      <c r="C129" s="244"/>
      <c r="D129" s="412"/>
      <c r="E129" s="578"/>
      <c r="F129" s="579"/>
      <c r="G129" s="580"/>
      <c r="H129" s="5"/>
      <c r="I129" s="29"/>
      <c r="J129" s="18"/>
    </row>
    <row r="130" spans="1:10" customFormat="1" ht="15.6">
      <c r="A130" s="76" t="s">
        <v>5514</v>
      </c>
      <c r="B130" s="20" t="str">
        <f>Language!A421</f>
        <v>On-the-job training only</v>
      </c>
      <c r="C130" s="244"/>
      <c r="D130" s="412"/>
      <c r="E130" s="578"/>
      <c r="F130" s="579"/>
      <c r="G130" s="580"/>
      <c r="H130" s="5"/>
      <c r="I130" s="29"/>
      <c r="J130" s="18"/>
    </row>
    <row r="131" spans="1:10" customFormat="1" ht="15.6">
      <c r="A131" s="76" t="s">
        <v>5515</v>
      </c>
      <c r="B131" s="20" t="str">
        <f>Language!A422</f>
        <v>Other (specify in comments)</v>
      </c>
      <c r="C131" s="244"/>
      <c r="D131" s="412"/>
      <c r="E131" s="578"/>
      <c r="F131" s="579"/>
      <c r="G131" s="580"/>
      <c r="H131" s="5"/>
      <c r="I131" s="29"/>
      <c r="J131" s="18"/>
    </row>
    <row r="132" spans="1:10">
      <c r="F132" s="9"/>
      <c r="G132" s="9"/>
    </row>
    <row r="133" spans="1:10">
      <c r="C133" s="273" t="str">
        <f>Language!A458</f>
        <v>This section will autopopulate, do not enter data</v>
      </c>
      <c r="E133" s="128"/>
      <c r="F133" s="128"/>
      <c r="G133" s="128"/>
    </row>
    <row r="134" spans="1:10" ht="27.6" customHeight="1">
      <c r="B134" s="120" t="str">
        <f>Language!A423</f>
        <v>Number of staff with Microbiology or Medical Lab Science Training</v>
      </c>
      <c r="C134" s="123">
        <f>D121+D123+D125+D127</f>
        <v>0</v>
      </c>
      <c r="E134" s="123"/>
      <c r="F134" s="123"/>
      <c r="G134" s="123"/>
    </row>
    <row r="135" spans="1:10">
      <c r="B135" s="120" t="str">
        <f>Language!A424</f>
        <v>Number of staff with other training</v>
      </c>
      <c r="C135" s="123">
        <f>D122+D124+D126+D128+D129+D130</f>
        <v>0</v>
      </c>
      <c r="E135" s="123"/>
      <c r="F135" s="123"/>
      <c r="G135" s="123"/>
    </row>
    <row r="136" spans="1:10" ht="27.6" customHeight="1">
      <c r="B136" s="121" t="str">
        <f>Language!A425</f>
        <v>Proportion of staff with Microbiology or Medical Lab Science Training</v>
      </c>
      <c r="C136" s="124" t="e">
        <f>C134/(C134+C135)</f>
        <v>#DIV/0!</v>
      </c>
      <c r="E136" s="124"/>
      <c r="F136" s="124"/>
      <c r="G136" s="124"/>
    </row>
    <row r="137" spans="1:10" ht="15.6">
      <c r="B137" s="122"/>
      <c r="C137" s="125"/>
      <c r="E137" s="125"/>
      <c r="F137" s="125"/>
      <c r="G137" s="125"/>
    </row>
    <row r="138" spans="1:10">
      <c r="B138" s="120" t="str">
        <f>Language!A426</f>
        <v>Number of staff with a Graduate Bachelor's Degree or higher</v>
      </c>
      <c r="C138" s="123">
        <f>D121+D122+D123+D124+D125+D126</f>
        <v>0</v>
      </c>
      <c r="E138" s="123"/>
      <c r="F138" s="123"/>
      <c r="G138" s="123"/>
    </row>
    <row r="139" spans="1:10">
      <c r="B139" s="120" t="str">
        <f>Language!A427</f>
        <v>Number of staff with less than a Graduate Bachelor's Degree</v>
      </c>
      <c r="C139" s="123">
        <f>D127+D128+D129+D130+D131</f>
        <v>0</v>
      </c>
      <c r="E139" s="123"/>
      <c r="F139" s="123"/>
      <c r="G139" s="123"/>
    </row>
    <row r="140" spans="1:10">
      <c r="B140" s="121" t="str">
        <f>Language!A428</f>
        <v>Proportion of staff with a Graduate Bachelor's Degree or higher</v>
      </c>
      <c r="C140" s="126" t="e">
        <f>C138/(C138+C139)</f>
        <v>#DIV/0!</v>
      </c>
      <c r="E140" s="126"/>
      <c r="F140" s="126"/>
      <c r="G140" s="126"/>
    </row>
    <row r="141" spans="1:10" ht="14.4" thickBot="1">
      <c r="F141" s="9"/>
      <c r="G141" s="9"/>
    </row>
    <row r="142" spans="1:10" s="225" customFormat="1" ht="14.4" thickBot="1">
      <c r="A142" s="160"/>
      <c r="B142" s="111" t="str">
        <f>Language!A429</f>
        <v>QMS MENTORING PROGRAMS</v>
      </c>
      <c r="C142" s="79"/>
      <c r="D142" s="79"/>
      <c r="E142" s="79"/>
      <c r="F142" s="79"/>
      <c r="G142" s="79"/>
    </row>
    <row r="143" spans="1:10" s="225" customFormat="1">
      <c r="A143" s="10"/>
      <c r="B143" s="230"/>
      <c r="C143" s="15" t="str">
        <f>Language!A454</f>
        <v>Y/N</v>
      </c>
      <c r="D143" s="175" t="str">
        <f>Language!A459</f>
        <v>Year</v>
      </c>
      <c r="E143" s="589" t="str">
        <f>E120</f>
        <v>Comments</v>
      </c>
      <c r="F143" s="589"/>
      <c r="G143" s="589"/>
    </row>
    <row r="144" spans="1:10" s="225" customFormat="1">
      <c r="A144" s="76" t="s">
        <v>5516</v>
      </c>
      <c r="B144" s="176" t="str">
        <f>Language!A430</f>
        <v>Has the laboratory ever been enrolled in the SLIPTA program?</v>
      </c>
      <c r="C144" s="245"/>
      <c r="D144" s="413"/>
      <c r="E144" s="578"/>
      <c r="F144" s="579"/>
      <c r="G144" s="580"/>
      <c r="H144" s="226"/>
    </row>
    <row r="145" spans="1:8" s="225" customFormat="1">
      <c r="A145" s="76" t="s">
        <v>5517</v>
      </c>
      <c r="B145" s="146" t="str">
        <f>Language!A431</f>
        <v>If yes, when was the most recent certification awarded?</v>
      </c>
      <c r="C145" s="245"/>
      <c r="D145" s="413"/>
      <c r="E145" s="578"/>
      <c r="F145" s="579"/>
      <c r="G145" s="580"/>
      <c r="H145" s="226"/>
    </row>
    <row r="146" spans="1:8" s="225" customFormat="1" ht="15.6">
      <c r="A146" s="10"/>
      <c r="B146" s="513" t="str">
        <f>Language!A432</f>
        <v>1: Within the past 2 years - 2: More than 2 years ago - 3: NA</v>
      </c>
      <c r="C146" s="28"/>
      <c r="D146" s="175"/>
      <c r="E146" s="230"/>
      <c r="F146" s="231"/>
      <c r="G146" s="230"/>
    </row>
    <row r="147" spans="1:8" s="225" customFormat="1">
      <c r="A147" s="76" t="s">
        <v>5518</v>
      </c>
      <c r="B147" s="146" t="str">
        <f>Language!A433</f>
        <v>If yes, what is the star level of the latest SLIPTA audit?  Check the certificate.</v>
      </c>
      <c r="C147" s="246"/>
      <c r="D147" s="175"/>
      <c r="E147" s="578"/>
      <c r="F147" s="579"/>
      <c r="G147" s="580"/>
      <c r="H147" s="226"/>
    </row>
    <row r="148" spans="1:8" s="225" customFormat="1" ht="27.6" customHeight="1">
      <c r="A148" s="10"/>
      <c r="B148" s="513" t="str">
        <f>Language!A434</f>
        <v>(0: 0 stars; 1: 1 stars; 2: 2 stars, 3: 3 stars; 4: 4 stars; 5: 5 stars, NA)</v>
      </c>
      <c r="D148" s="175"/>
      <c r="E148" s="230"/>
      <c r="F148" s="231"/>
      <c r="G148" s="230"/>
    </row>
    <row r="149" spans="1:8" s="225" customFormat="1" ht="27.6" customHeight="1">
      <c r="A149" s="76" t="s">
        <v>5519</v>
      </c>
      <c r="B149" s="176" t="str">
        <f>Language!A435</f>
        <v>Has the laboratory ever been enrolled in the WHO LQSI program? What year?</v>
      </c>
      <c r="C149" s="245"/>
      <c r="D149" s="413"/>
      <c r="E149" s="578"/>
      <c r="F149" s="579"/>
      <c r="G149" s="580"/>
      <c r="H149" s="226"/>
    </row>
    <row r="150" spans="1:8" s="225" customFormat="1">
      <c r="A150" s="76" t="s">
        <v>5520</v>
      </c>
      <c r="B150" s="146" t="str">
        <f>Language!A436</f>
        <v>If yes, what was the last overall % score for the 4 phases? What year?</v>
      </c>
      <c r="C150" s="246"/>
      <c r="D150" s="413"/>
      <c r="E150" s="578"/>
      <c r="F150" s="579"/>
      <c r="G150" s="580"/>
      <c r="H150" s="226"/>
    </row>
    <row r="151" spans="1:8" s="225" customFormat="1">
      <c r="A151" s="10"/>
      <c r="B151" s="513" t="str">
        <f>Language!A437</f>
        <v>1: &gt;90%; 2: 70%-89%, 3: 50-69%, 4: &lt;50%, NA</v>
      </c>
      <c r="C151" s="174"/>
      <c r="D151" s="174"/>
      <c r="E151" s="174"/>
      <c r="F151" s="224"/>
      <c r="G151" s="174"/>
      <c r="H151" s="174"/>
    </row>
    <row r="152" spans="1:8" s="225" customFormat="1" ht="41.55" customHeight="1">
      <c r="A152" s="76" t="s">
        <v>5521</v>
      </c>
      <c r="B152" s="176" t="str">
        <f>Language!A438</f>
        <v>Has the laboratory ever been enrolled in any other mentoring program for Laboratory Quality Management (National, Regional, International)? When?</v>
      </c>
      <c r="C152" s="247"/>
      <c r="D152" s="413"/>
      <c r="E152" s="579"/>
      <c r="F152" s="579"/>
      <c r="G152" s="580"/>
      <c r="H152" s="226"/>
    </row>
    <row r="153" spans="1:8" s="225" customFormat="1" ht="16.2" thickBot="1">
      <c r="A153" s="10"/>
      <c r="B153" s="146"/>
      <c r="C153" s="22"/>
      <c r="D153" s="175"/>
      <c r="E153" s="227"/>
      <c r="F153" s="228"/>
      <c r="G153" s="227"/>
    </row>
    <row r="154" spans="1:8" s="225" customFormat="1" ht="14.4" thickBot="1">
      <c r="A154" s="160"/>
      <c r="B154" s="113" t="str">
        <f>Language!A439</f>
        <v>ACCREDITATION and CERTIFICATION</v>
      </c>
      <c r="C154" s="81"/>
      <c r="D154" s="81"/>
      <c r="E154" s="81"/>
      <c r="F154" s="81"/>
      <c r="G154" s="81"/>
    </row>
    <row r="155" spans="1:8" s="225" customFormat="1" ht="41.55" customHeight="1">
      <c r="A155" s="10"/>
      <c r="B155" s="176" t="str">
        <f>Language!A440</f>
        <v>Does the lab possess a valid (current) ISO 15189 accreditation certificate for any of the following tests? (Confirm by reviewing certificate)</v>
      </c>
      <c r="C155" s="484" t="str">
        <f>Language!A454</f>
        <v>Y/N</v>
      </c>
      <c r="D155" s="348" t="str">
        <f>Language!A460</f>
        <v>Year awarded</v>
      </c>
      <c r="E155" s="589" t="str">
        <f>E143</f>
        <v>Comments</v>
      </c>
      <c r="F155" s="589"/>
      <c r="G155" s="589"/>
    </row>
    <row r="156" spans="1:8" s="225" customFormat="1">
      <c r="A156" s="76" t="s">
        <v>5522</v>
      </c>
      <c r="B156" s="127" t="str">
        <f>Language!A441</f>
        <v>Blood cultures</v>
      </c>
      <c r="C156" s="246"/>
      <c r="D156" s="413"/>
      <c r="E156" s="586"/>
      <c r="F156" s="587"/>
      <c r="G156" s="588"/>
      <c r="H156" s="226"/>
    </row>
    <row r="157" spans="1:8" s="225" customFormat="1">
      <c r="A157" s="76" t="s">
        <v>5523</v>
      </c>
      <c r="B157" s="127" t="str">
        <f>Language!A442</f>
        <v>Stool cultures</v>
      </c>
      <c r="C157" s="246"/>
      <c r="D157" s="413"/>
      <c r="E157" s="586"/>
      <c r="F157" s="587"/>
      <c r="G157" s="588"/>
      <c r="H157" s="226"/>
    </row>
    <row r="158" spans="1:8" s="225" customFormat="1">
      <c r="A158" s="76" t="s">
        <v>5524</v>
      </c>
      <c r="B158" s="127" t="str">
        <f>Language!A443</f>
        <v>Urine cultures</v>
      </c>
      <c r="C158" s="246"/>
      <c r="D158" s="413"/>
      <c r="E158" s="586"/>
      <c r="F158" s="587"/>
      <c r="G158" s="588"/>
      <c r="H158" s="226"/>
    </row>
    <row r="159" spans="1:8" s="225" customFormat="1">
      <c r="A159" s="76" t="s">
        <v>5525</v>
      </c>
      <c r="B159" s="127" t="str">
        <f>Language!A444</f>
        <v>Organism Identification</v>
      </c>
      <c r="C159" s="246"/>
      <c r="D159" s="413"/>
      <c r="E159" s="586"/>
      <c r="F159" s="587"/>
      <c r="G159" s="588"/>
      <c r="H159" s="226"/>
    </row>
    <row r="160" spans="1:8" s="225" customFormat="1">
      <c r="A160" s="76" t="s">
        <v>5526</v>
      </c>
      <c r="B160" s="127" t="str">
        <f>Language!A445</f>
        <v>Antibiotic Susceptibility Testing</v>
      </c>
      <c r="C160" s="246"/>
      <c r="D160" s="413"/>
      <c r="E160" s="586"/>
      <c r="F160" s="587"/>
      <c r="G160" s="588"/>
      <c r="H160" s="226"/>
    </row>
    <row r="161" spans="1:8" s="225" customFormat="1">
      <c r="A161" s="76" t="s">
        <v>5527</v>
      </c>
      <c r="B161" s="127" t="str">
        <f>Language!A446</f>
        <v>Any other microbiology applied technique such as Gram staining?</v>
      </c>
      <c r="C161" s="246"/>
      <c r="D161" s="413"/>
      <c r="E161" s="586"/>
      <c r="F161" s="587"/>
      <c r="G161" s="588"/>
      <c r="H161" s="226"/>
    </row>
    <row r="162" spans="1:8" s="225" customFormat="1" ht="41.55" customHeight="1">
      <c r="A162" s="76" t="s">
        <v>5528</v>
      </c>
      <c r="B162" s="176" t="str">
        <f>Language!A447</f>
        <v xml:space="preserve">Who awarded the most recent accreditation? (Review accreditation certificate and write name of accrediting body in comments) </v>
      </c>
      <c r="C162" s="245"/>
      <c r="D162" s="414"/>
      <c r="E162" s="586"/>
      <c r="F162" s="587"/>
      <c r="G162" s="588"/>
      <c r="H162" s="226"/>
    </row>
    <row r="163" spans="1:8" s="225" customFormat="1" ht="41.55" customHeight="1">
      <c r="A163" s="10"/>
      <c r="B163" s="87" t="str">
        <f>Language!A448</f>
        <v>1: ILAC Full Member; 2: ILAC Associate Member; 3: ILAC Affiliate Member;  4: ILAC Stakeholder; 5: ILAC Regional Cooperation Body; 6: Other/Don't know; 7: National Accrediting Board; NA</v>
      </c>
      <c r="C163" s="19"/>
      <c r="E163" s="19"/>
      <c r="F163" s="19"/>
      <c r="G163" s="19"/>
    </row>
    <row r="164" spans="1:8" s="225" customFormat="1">
      <c r="A164" s="10"/>
      <c r="B164" s="53" t="str">
        <f>Language!A449</f>
        <v>(ILAC = International Laboratory Accreditation Cooperation)</v>
      </c>
      <c r="C164" s="175"/>
      <c r="E164" s="175"/>
      <c r="F164" s="175"/>
      <c r="G164" s="175"/>
    </row>
    <row r="165" spans="1:8" s="225" customFormat="1">
      <c r="A165" s="10"/>
      <c r="B165" s="345" t="s">
        <v>5529</v>
      </c>
      <c r="C165" s="175"/>
      <c r="E165" s="175"/>
      <c r="F165" s="175"/>
      <c r="G165" s="175"/>
    </row>
    <row r="166" spans="1:8">
      <c r="F166" s="61"/>
    </row>
    <row r="167" spans="1:8">
      <c r="F167" s="61"/>
    </row>
    <row r="168" spans="1:8">
      <c r="F168" s="61"/>
    </row>
    <row r="169" spans="1:8">
      <c r="F169" s="61"/>
    </row>
    <row r="170" spans="1:8">
      <c r="F170" s="61"/>
    </row>
    <row r="171" spans="1:8">
      <c r="F171" s="61"/>
    </row>
    <row r="172" spans="1:8">
      <c r="F172" s="61"/>
    </row>
    <row r="173" spans="1:8">
      <c r="F173" s="61"/>
    </row>
    <row r="174" spans="1:8">
      <c r="F174" s="61"/>
    </row>
    <row r="175" spans="1:8">
      <c r="F175" s="61"/>
    </row>
    <row r="176" spans="1:8">
      <c r="F176" s="61"/>
    </row>
    <row r="177" spans="6:6">
      <c r="F177" s="61"/>
    </row>
    <row r="178" spans="6:6">
      <c r="F178" s="61"/>
    </row>
    <row r="179" spans="6:6">
      <c r="F179" s="61"/>
    </row>
    <row r="180" spans="6:6">
      <c r="F180" s="61"/>
    </row>
    <row r="181" spans="6:6">
      <c r="F181" s="61"/>
    </row>
    <row r="182" spans="6:6">
      <c r="F182" s="61"/>
    </row>
    <row r="183" spans="6:6">
      <c r="F183" s="61"/>
    </row>
    <row r="184" spans="6:6">
      <c r="F184" s="61"/>
    </row>
    <row r="185" spans="6:6">
      <c r="F185" s="61"/>
    </row>
    <row r="186" spans="6:6">
      <c r="F186" s="61"/>
    </row>
    <row r="187" spans="6:6">
      <c r="F187" s="61"/>
    </row>
    <row r="188" spans="6:6">
      <c r="F188" s="61"/>
    </row>
    <row r="189" spans="6:6">
      <c r="F189" s="61"/>
    </row>
    <row r="190" spans="6:6">
      <c r="F190" s="61"/>
    </row>
    <row r="191" spans="6:6">
      <c r="F191" s="61"/>
    </row>
    <row r="192" spans="6:6">
      <c r="F192" s="61"/>
    </row>
    <row r="193" spans="6:6">
      <c r="F193" s="61"/>
    </row>
    <row r="194" spans="6:6">
      <c r="F194" s="61"/>
    </row>
    <row r="195" spans="6:6">
      <c r="F195" s="61"/>
    </row>
    <row r="196" spans="6:6">
      <c r="F196" s="61"/>
    </row>
    <row r="197" spans="6:6">
      <c r="F197" s="61"/>
    </row>
    <row r="198" spans="6:6">
      <c r="F198" s="61"/>
    </row>
    <row r="199" spans="6:6">
      <c r="F199" s="61"/>
    </row>
    <row r="200" spans="6:6">
      <c r="F200" s="61"/>
    </row>
    <row r="201" spans="6:6">
      <c r="F201" s="61"/>
    </row>
    <row r="202" spans="6:6">
      <c r="F202" s="61"/>
    </row>
    <row r="203" spans="6:6">
      <c r="F203" s="61"/>
    </row>
    <row r="204" spans="6:6">
      <c r="F204" s="61"/>
    </row>
    <row r="205" spans="6:6">
      <c r="F205" s="61"/>
    </row>
    <row r="206" spans="6:6">
      <c r="F206" s="61"/>
    </row>
    <row r="207" spans="6:6">
      <c r="F207" s="61"/>
    </row>
    <row r="208" spans="6:6">
      <c r="F208" s="61"/>
    </row>
    <row r="209" spans="6:6">
      <c r="F209" s="61"/>
    </row>
    <row r="210" spans="6:6">
      <c r="F210" s="61"/>
    </row>
    <row r="211" spans="6:6">
      <c r="F211" s="61"/>
    </row>
    <row r="212" spans="6:6">
      <c r="F212" s="61"/>
    </row>
    <row r="213" spans="6:6">
      <c r="F213" s="61"/>
    </row>
    <row r="214" spans="6:6">
      <c r="F214" s="61"/>
    </row>
    <row r="215" spans="6:6">
      <c r="F215" s="61"/>
    </row>
    <row r="216" spans="6:6">
      <c r="F216" s="61"/>
    </row>
    <row r="217" spans="6:6">
      <c r="F217" s="61"/>
    </row>
    <row r="218" spans="6:6">
      <c r="F218" s="61"/>
    </row>
    <row r="219" spans="6:6">
      <c r="F219" s="61"/>
    </row>
    <row r="220" spans="6:6">
      <c r="F220" s="61"/>
    </row>
    <row r="221" spans="6:6">
      <c r="F221" s="61"/>
    </row>
    <row r="222" spans="6:6">
      <c r="F222" s="61"/>
    </row>
    <row r="223" spans="6:6">
      <c r="F223" s="61"/>
    </row>
    <row r="224" spans="6:6">
      <c r="F224" s="61"/>
    </row>
    <row r="225" spans="6:6">
      <c r="F225" s="61"/>
    </row>
    <row r="226" spans="6:6">
      <c r="F226" s="61"/>
    </row>
    <row r="227" spans="6:6">
      <c r="F227" s="61"/>
    </row>
    <row r="228" spans="6:6">
      <c r="F228" s="61"/>
    </row>
    <row r="229" spans="6:6">
      <c r="F229" s="61"/>
    </row>
    <row r="230" spans="6:6">
      <c r="F230" s="61"/>
    </row>
    <row r="231" spans="6:6">
      <c r="F231" s="61"/>
    </row>
    <row r="232" spans="6:6">
      <c r="F232" s="61"/>
    </row>
    <row r="233" spans="6:6">
      <c r="F233" s="61"/>
    </row>
    <row r="234" spans="6:6">
      <c r="F234" s="61"/>
    </row>
  </sheetData>
  <sheetProtection algorithmName="SHA-256" hashValue="AB0yxy+K34LDseGe+92xZV4WIE7vhqZeLsy3cVzV4Tg=" saltValue="YzBoHHlOjDIsYy1bH8k3Rw==" spinCount="100000" sheet="1" selectLockedCells="1"/>
  <dataConsolidate/>
  <mergeCells count="119">
    <mergeCell ref="C11:G11"/>
    <mergeCell ref="C8:G8"/>
    <mergeCell ref="C9:G9"/>
    <mergeCell ref="C10:G10"/>
    <mergeCell ref="C12:G12"/>
    <mergeCell ref="C13:G13"/>
    <mergeCell ref="C6:G6"/>
    <mergeCell ref="C7:G7"/>
    <mergeCell ref="C18:D18"/>
    <mergeCell ref="E59:G59"/>
    <mergeCell ref="E29:F29"/>
    <mergeCell ref="E72:G72"/>
    <mergeCell ref="E73:G73"/>
    <mergeCell ref="E74:G74"/>
    <mergeCell ref="E75:G75"/>
    <mergeCell ref="E66:G66"/>
    <mergeCell ref="E68:G68"/>
    <mergeCell ref="E69:G69"/>
    <mergeCell ref="E70:G70"/>
    <mergeCell ref="E60:G60"/>
    <mergeCell ref="E62:G62"/>
    <mergeCell ref="E63:G63"/>
    <mergeCell ref="E64:G64"/>
    <mergeCell ref="C4:G4"/>
    <mergeCell ref="C5:G5"/>
    <mergeCell ref="E67:G67"/>
    <mergeCell ref="C22:D22"/>
    <mergeCell ref="C23:D23"/>
    <mergeCell ref="E22:F22"/>
    <mergeCell ref="E23:F23"/>
    <mergeCell ref="C24:D24"/>
    <mergeCell ref="E24:F24"/>
    <mergeCell ref="C25:D25"/>
    <mergeCell ref="E25:F25"/>
    <mergeCell ref="C26:D26"/>
    <mergeCell ref="E26:F26"/>
    <mergeCell ref="C27:D27"/>
    <mergeCell ref="E27:F27"/>
    <mergeCell ref="C28:D28"/>
    <mergeCell ref="B15:G15"/>
    <mergeCell ref="C16:D16"/>
    <mergeCell ref="C21:D21"/>
    <mergeCell ref="E21:F21"/>
    <mergeCell ref="E28:F28"/>
    <mergeCell ref="C29:D29"/>
    <mergeCell ref="C17:D17"/>
    <mergeCell ref="B20:G20"/>
    <mergeCell ref="E112:G112"/>
    <mergeCell ref="E113:G113"/>
    <mergeCell ref="E101:G101"/>
    <mergeCell ref="E103:G103"/>
    <mergeCell ref="E104:G104"/>
    <mergeCell ref="E105:G105"/>
    <mergeCell ref="E106:G106"/>
    <mergeCell ref="E94:G94"/>
    <mergeCell ref="E96:G96"/>
    <mergeCell ref="E97:G97"/>
    <mergeCell ref="E98:G98"/>
    <mergeCell ref="E99:G99"/>
    <mergeCell ref="E129:G129"/>
    <mergeCell ref="E130:G130"/>
    <mergeCell ref="E121:G121"/>
    <mergeCell ref="E122:G122"/>
    <mergeCell ref="E123:G123"/>
    <mergeCell ref="E124:G124"/>
    <mergeCell ref="E125:G125"/>
    <mergeCell ref="E114:G114"/>
    <mergeCell ref="E115:G115"/>
    <mergeCell ref="E116:G116"/>
    <mergeCell ref="E117:G117"/>
    <mergeCell ref="E120:G120"/>
    <mergeCell ref="E159:G159"/>
    <mergeCell ref="E160:G160"/>
    <mergeCell ref="E161:G161"/>
    <mergeCell ref="E162:G162"/>
    <mergeCell ref="E31:G31"/>
    <mergeCell ref="E36:G36"/>
    <mergeCell ref="E44:G44"/>
    <mergeCell ref="E50:G50"/>
    <mergeCell ref="E56:G56"/>
    <mergeCell ref="E152:G152"/>
    <mergeCell ref="E155:G155"/>
    <mergeCell ref="E156:G156"/>
    <mergeCell ref="E157:G157"/>
    <mergeCell ref="E158:G158"/>
    <mergeCell ref="E147:G147"/>
    <mergeCell ref="E149:G149"/>
    <mergeCell ref="E150:G150"/>
    <mergeCell ref="E131:G131"/>
    <mergeCell ref="E143:G143"/>
    <mergeCell ref="E144:G144"/>
    <mergeCell ref="E145:G145"/>
    <mergeCell ref="E126:G126"/>
    <mergeCell ref="E127:G127"/>
    <mergeCell ref="E128:G128"/>
    <mergeCell ref="B87:D87"/>
    <mergeCell ref="B95:D95"/>
    <mergeCell ref="B102:D102"/>
    <mergeCell ref="B111:D111"/>
    <mergeCell ref="B61:D61"/>
    <mergeCell ref="B65:D65"/>
    <mergeCell ref="E107:G107"/>
    <mergeCell ref="E108:G108"/>
    <mergeCell ref="E110:G110"/>
    <mergeCell ref="E88:G88"/>
    <mergeCell ref="E89:G89"/>
    <mergeCell ref="E90:G90"/>
    <mergeCell ref="E91:G91"/>
    <mergeCell ref="E92:G92"/>
    <mergeCell ref="E81:G81"/>
    <mergeCell ref="E82:G82"/>
    <mergeCell ref="E83:G83"/>
    <mergeCell ref="E86:G86"/>
    <mergeCell ref="E76:G76"/>
    <mergeCell ref="E77:G77"/>
    <mergeCell ref="E78:G78"/>
    <mergeCell ref="E79:G79"/>
    <mergeCell ref="E80:G80"/>
    <mergeCell ref="E71:G71"/>
  </mergeCells>
  <phoneticPr fontId="45" type="noConversion"/>
  <conditionalFormatting sqref="C59:D59">
    <cfRule type="cellIs" dxfId="1449" priority="10" stopIfTrue="1" operator="greaterThanOrEqual">
      <formula>0.8</formula>
    </cfRule>
    <cfRule type="cellIs" dxfId="1448" priority="11" stopIfTrue="1" operator="between">
      <formula>0.5</formula>
      <formula>0.799</formula>
    </cfRule>
    <cfRule type="cellIs" dxfId="1447" priority="12" stopIfTrue="1" operator="lessThan">
      <formula>0.5</formula>
    </cfRule>
  </conditionalFormatting>
  <conditionalFormatting sqref="C85:G85">
    <cfRule type="cellIs" dxfId="1446" priority="13" stopIfTrue="1" operator="greaterThanOrEqual">
      <formula>0.8</formula>
    </cfRule>
    <cfRule type="cellIs" dxfId="1445" priority="14" stopIfTrue="1" operator="between">
      <formula>0.5</formula>
      <formula>0.799</formula>
    </cfRule>
    <cfRule type="cellIs" dxfId="1444" priority="15" stopIfTrue="1" operator="lessThan">
      <formula>0.5</formula>
    </cfRule>
  </conditionalFormatting>
  <conditionalFormatting sqref="C119:G119">
    <cfRule type="cellIs" dxfId="1443" priority="7" stopIfTrue="1" operator="greaterThanOrEqual">
      <formula>0.8</formula>
    </cfRule>
    <cfRule type="cellIs" dxfId="1442" priority="8" stopIfTrue="1" operator="between">
      <formula>0.5</formula>
      <formula>0.799</formula>
    </cfRule>
    <cfRule type="cellIs" dxfId="1441" priority="9" stopIfTrue="1" operator="lessThan">
      <formula>0.5</formula>
    </cfRule>
  </conditionalFormatting>
  <conditionalFormatting sqref="C142:G142">
    <cfRule type="cellIs" dxfId="1440" priority="1" stopIfTrue="1" operator="greaterThanOrEqual">
      <formula>0.8</formula>
    </cfRule>
    <cfRule type="cellIs" dxfId="1439" priority="2" stopIfTrue="1" operator="between">
      <formula>0.5</formula>
      <formula>0.799</formula>
    </cfRule>
    <cfRule type="cellIs" dxfId="1438" priority="3" stopIfTrue="1" operator="lessThan">
      <formula>0.5</formula>
    </cfRule>
  </conditionalFormatting>
  <conditionalFormatting sqref="C154:G154">
    <cfRule type="cellIs" dxfId="1437" priority="4" stopIfTrue="1" operator="greaterThanOrEqual">
      <formula>0.8</formula>
    </cfRule>
    <cfRule type="cellIs" dxfId="1436" priority="5" stopIfTrue="1" operator="between">
      <formula>0.5</formula>
      <formula>0.799</formula>
    </cfRule>
    <cfRule type="cellIs" dxfId="1435" priority="6" stopIfTrue="1" operator="lessThan">
      <formula>0.5</formula>
    </cfRule>
  </conditionalFormatting>
  <conditionalFormatting sqref="J85">
    <cfRule type="containsText" dxfId="1434" priority="56" stopIfTrue="1" operator="containsText" text="RED FLAG">
      <formula>NOT(ISERROR(SEARCH("RED FLAG",J85)))</formula>
    </cfRule>
  </conditionalFormatting>
  <conditionalFormatting sqref="J119">
    <cfRule type="containsText" dxfId="1433" priority="30" stopIfTrue="1" operator="containsText" text="RED FLAG">
      <formula>NOT(ISERROR(SEARCH("RED FLAG",J119)))</formula>
    </cfRule>
    <cfRule type="cellIs" dxfId="1432" priority="31" stopIfTrue="1" operator="lessThan">
      <formula>0.5</formula>
    </cfRule>
    <cfRule type="cellIs" dxfId="1431" priority="32" stopIfTrue="1" operator="between">
      <formula>0.5</formula>
      <formula>0.75</formula>
    </cfRule>
    <cfRule type="cellIs" dxfId="1430" priority="33" stopIfTrue="1" operator="greaterThan">
      <formula>0.75</formula>
    </cfRule>
  </conditionalFormatting>
  <conditionalFormatting sqref="J128:J131">
    <cfRule type="containsText" dxfId="1429" priority="26" stopIfTrue="1" operator="containsText" text="RED FLAG">
      <formula>NOT(ISERROR(SEARCH("RED FLAG",J128)))</formula>
    </cfRule>
    <cfRule type="cellIs" dxfId="1428" priority="27" stopIfTrue="1" operator="lessThan">
      <formula>0.5</formula>
    </cfRule>
    <cfRule type="cellIs" dxfId="1427" priority="28" stopIfTrue="1" operator="between">
      <formula>0.5</formula>
      <formula>0.75</formula>
    </cfRule>
    <cfRule type="cellIs" dxfId="1426" priority="29" stopIfTrue="1" operator="greaterThan">
      <formula>0.75</formula>
    </cfRule>
  </conditionalFormatting>
  <dataValidations count="10">
    <dataValidation type="list" allowBlank="1" showInputMessage="1" showErrorMessage="1" sqref="C56" xr:uid="{00000000-0002-0000-0400-000000000000}">
      <formula1>"&lt;100,100-499,500-1000,&gt;1000,NA"</formula1>
    </dataValidation>
    <dataValidation type="list" allowBlank="1" showInputMessage="1" showErrorMessage="1" sqref="C31" xr:uid="{00000000-0002-0000-0400-000001000000}">
      <formula1>"1,2,3,4"</formula1>
    </dataValidation>
    <dataValidation type="list" allowBlank="1" showInputMessage="1" showErrorMessage="1" sqref="C36" xr:uid="{00000000-0002-0000-0400-000002000000}">
      <formula1>"1,2,3,4,5,6,7"</formula1>
    </dataValidation>
    <dataValidation type="list" allowBlank="1" showInputMessage="1" showErrorMessage="1" sqref="C44 C50" xr:uid="{00000000-0002-0000-0400-000003000000}">
      <formula1>"1,2,3,4,5"</formula1>
    </dataValidation>
    <dataValidation type="list" allowBlank="1" showInputMessage="1" showErrorMessage="1" sqref="C112:C117 C121:C131 C144 C156:C161 C103:C108 C88:C92 C149 C152 C96:C99" xr:uid="{00000000-0002-0000-0400-000004000000}">
      <formula1>"Yes,No"</formula1>
    </dataValidation>
    <dataValidation type="list" allowBlank="1" showInputMessage="1" showErrorMessage="1" sqref="C62:C64 C66:C83" xr:uid="{00000000-0002-0000-0400-000005000000}">
      <formula1>"Y,N"</formula1>
    </dataValidation>
    <dataValidation type="list" allowBlank="1" showInputMessage="1" showErrorMessage="1" sqref="C145" xr:uid="{00000000-0002-0000-0400-000006000000}">
      <formula1>"1,2,NA"</formula1>
    </dataValidation>
    <dataValidation type="list" allowBlank="1" showInputMessage="1" showErrorMessage="1" sqref="C147" xr:uid="{00000000-0002-0000-0400-000007000000}">
      <formula1>"0,1,2,3,4,5,NA"</formula1>
    </dataValidation>
    <dataValidation type="list" allowBlank="1" showInputMessage="1" showErrorMessage="1" sqref="C162" xr:uid="{00000000-0002-0000-0400-000008000000}">
      <formula1>"1,2,3,4,5,6,7,NA"</formula1>
    </dataValidation>
    <dataValidation type="list" allowBlank="1" showInputMessage="1" showErrorMessage="1" sqref="C150" xr:uid="{00000000-0002-0000-0400-000009000000}">
      <formula1>"0,1,2,3,4,NA"</formula1>
    </dataValidation>
  </dataValidations>
  <hyperlinks>
    <hyperlink ref="B165" r:id="rId1" location="elementid" display="https://ilac.org/signatory-search/ - elementid" xr:uid="{00000000-0004-0000-0400-000000000000}"/>
  </hyperlinks>
  <pageMargins left="0.25" right="0.25" top="0.75000000000000011" bottom="0.75000000000000011" header="0.30000000000000004" footer="0.30000000000000004"/>
  <pageSetup paperSize="9" fitToHeight="6" orientation="landscape" r:id="rId2"/>
  <headerFooter>
    <oddFooter>&amp;C&amp;A-&amp;P</oddFooter>
  </headerFooter>
  <rowBreaks count="6" manualBreakCount="6">
    <brk id="29" max="6" man="1"/>
    <brk id="57" max="6" man="1"/>
    <brk id="84" max="6" man="1"/>
    <brk id="108" max="6" man="1"/>
    <brk id="118" max="6" man="1"/>
    <brk id="1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0C0"/>
  </sheetPr>
  <dimension ref="A1:K185"/>
  <sheetViews>
    <sheetView zoomScaleNormal="100" zoomScalePageLayoutView="80" workbookViewId="0">
      <selection activeCell="C5" sqref="C5"/>
    </sheetView>
  </sheetViews>
  <sheetFormatPr defaultColWidth="11" defaultRowHeight="15.6"/>
  <cols>
    <col min="1" max="1" width="4.69921875" style="12" customWidth="1"/>
    <col min="2" max="2" width="82.19921875" style="13" customWidth="1"/>
    <col min="3" max="3" width="5.5" style="15" customWidth="1"/>
    <col min="4" max="4" width="3.69921875" style="194" customWidth="1"/>
    <col min="5" max="5" width="3.69921875" style="22" hidden="1" customWidth="1"/>
    <col min="6" max="6" width="5.19921875" style="22" hidden="1" customWidth="1"/>
    <col min="7" max="7" width="5.19921875" style="22" customWidth="1"/>
    <col min="8" max="8" width="37.69921875" style="257" customWidth="1"/>
    <col min="9" max="9" width="9.69921875" style="22" customWidth="1"/>
    <col min="10" max="11" width="11" style="194"/>
    <col min="12" max="16384" width="11" style="22"/>
  </cols>
  <sheetData>
    <row r="1" spans="1:9">
      <c r="A1" s="16"/>
      <c r="B1" s="11" t="str">
        <f>Language!A461</f>
        <v>1- FACILITY</v>
      </c>
      <c r="C1" s="51" t="str">
        <f>IF(COUNT(G3:G323)=0,"???",AVERAGE(G3:G323))</f>
        <v>???</v>
      </c>
      <c r="E1" s="194"/>
      <c r="F1" s="194"/>
      <c r="G1" s="194"/>
      <c r="H1" s="256" t="str">
        <f>Language!A453</f>
        <v>Comments</v>
      </c>
      <c r="I1" s="194"/>
    </row>
    <row r="2" spans="1:9" ht="16.2" thickBot="1">
      <c r="A2" s="16"/>
      <c r="B2" s="202" t="str">
        <f>Language!A462</f>
        <v>Please note: all questions refer to equipment that is used for clinical patient specimens, NOT equipment that is used only for research specimens</v>
      </c>
      <c r="E2" s="194"/>
      <c r="F2" s="194"/>
      <c r="G2" s="194"/>
      <c r="I2" s="194"/>
    </row>
    <row r="3" spans="1:9" ht="16.2" thickBot="1">
      <c r="A3" s="159"/>
      <c r="B3" s="14" t="str">
        <f>Language!A463</f>
        <v>LABORATORY FACILITY</v>
      </c>
      <c r="C3" s="47" t="str">
        <f>IF(COUNTBLANK(C5:C17)=13,"???",IF(COUNT(G5:G17)=0,"NA",AVERAGE(G5:G17)))</f>
        <v>???</v>
      </c>
      <c r="E3" s="194"/>
      <c r="F3" s="200"/>
      <c r="G3" s="194"/>
      <c r="H3" s="417"/>
      <c r="I3" s="194"/>
    </row>
    <row r="4" spans="1:9">
      <c r="A4" s="16"/>
      <c r="B4" s="8" t="str">
        <f>Language!A464</f>
        <v>Observe the laboratory work benches, are they:</v>
      </c>
      <c r="E4" s="194"/>
      <c r="F4" s="194"/>
      <c r="G4" s="194"/>
      <c r="I4" s="194"/>
    </row>
    <row r="5" spans="1:9">
      <c r="A5" s="249" t="s">
        <v>5530</v>
      </c>
      <c r="B5" s="248" t="str">
        <f>Language!A465</f>
        <v>Separate from patient care areas</v>
      </c>
      <c r="C5" s="415"/>
      <c r="F5" s="23">
        <f t="shared" ref="F5:F15" si="0">C5</f>
        <v>0</v>
      </c>
      <c r="G5" s="18" t="str">
        <f t="shared" ref="G5:G11" si="1">IF(F5="Yes",1,IF(F5="No",0,"'"))</f>
        <v>'</v>
      </c>
      <c r="H5" s="416"/>
    </row>
    <row r="6" spans="1:9">
      <c r="A6" s="249" t="s">
        <v>5531</v>
      </c>
      <c r="B6" s="248" t="str">
        <f>Language!A466</f>
        <v>Organized with minimal clutter?</v>
      </c>
      <c r="C6" s="415"/>
      <c r="F6" s="23">
        <f t="shared" si="0"/>
        <v>0</v>
      </c>
      <c r="G6" s="18" t="str">
        <f t="shared" si="1"/>
        <v>'</v>
      </c>
      <c r="H6" s="416"/>
    </row>
    <row r="7" spans="1:9">
      <c r="A7" s="249" t="s">
        <v>5532</v>
      </c>
      <c r="B7" s="248" t="str">
        <f>Language!A467</f>
        <v>Adequately ventilated?</v>
      </c>
      <c r="C7" s="415"/>
      <c r="F7" s="23">
        <f t="shared" si="0"/>
        <v>0</v>
      </c>
      <c r="G7" s="18" t="str">
        <f t="shared" si="1"/>
        <v>'</v>
      </c>
      <c r="H7" s="416"/>
    </row>
    <row r="8" spans="1:9">
      <c r="A8" s="249" t="s">
        <v>5533</v>
      </c>
      <c r="B8" s="248" t="str">
        <f>Language!A468</f>
        <v>Free of excess moisture?</v>
      </c>
      <c r="C8" s="415"/>
      <c r="F8" s="23">
        <f t="shared" si="0"/>
        <v>0</v>
      </c>
      <c r="G8" s="18" t="str">
        <f t="shared" si="1"/>
        <v>'</v>
      </c>
      <c r="H8" s="416"/>
    </row>
    <row r="9" spans="1:9">
      <c r="A9" s="249" t="s">
        <v>5534</v>
      </c>
      <c r="B9" s="248" t="str">
        <f>Language!A469</f>
        <v>Adequately lit?</v>
      </c>
      <c r="C9" s="415"/>
      <c r="F9" s="23">
        <f t="shared" si="0"/>
        <v>0</v>
      </c>
      <c r="G9" s="18" t="str">
        <f t="shared" si="1"/>
        <v>'</v>
      </c>
      <c r="H9" s="416"/>
    </row>
    <row r="10" spans="1:9">
      <c r="A10" s="249" t="s">
        <v>5535</v>
      </c>
      <c r="B10" s="163" t="str">
        <f>Language!A470</f>
        <v>Does the laboratory have a functional heating/air conditioning system?</v>
      </c>
      <c r="C10" s="415"/>
      <c r="F10" s="23">
        <f t="shared" si="0"/>
        <v>0</v>
      </c>
      <c r="G10" s="18" t="str">
        <f t="shared" si="1"/>
        <v>'</v>
      </c>
      <c r="H10" s="416"/>
    </row>
    <row r="11" spans="1:9">
      <c r="A11" s="249" t="s">
        <v>5536</v>
      </c>
      <c r="B11" s="163" t="str">
        <f>Language!A471</f>
        <v>Is the temperature in the laboratory maintained between 20°-25°C?</v>
      </c>
      <c r="C11" s="415"/>
      <c r="F11" s="23">
        <f t="shared" si="0"/>
        <v>0</v>
      </c>
      <c r="G11" s="18" t="str">
        <f t="shared" si="1"/>
        <v>'</v>
      </c>
      <c r="H11" s="416"/>
    </row>
    <row r="12" spans="1:9" ht="27.6">
      <c r="A12" s="249" t="s">
        <v>5537</v>
      </c>
      <c r="B12" s="166" t="str">
        <f>Language!A472</f>
        <v>Are all critical equipment (instruments, refrigerators, freezers, incubators, computers, automated instruments) supported by a functioning generator?</v>
      </c>
      <c r="C12" s="415"/>
      <c r="F12" s="23">
        <f t="shared" si="0"/>
        <v>0</v>
      </c>
      <c r="G12" s="18" t="str">
        <f>IF(F12="Yes",1,IF(F12="Partial",0.5,IF(F12="No",0,"'")))</f>
        <v>'</v>
      </c>
      <c r="H12" s="557"/>
      <c r="I12" s="486"/>
    </row>
    <row r="13" spans="1:9" ht="27.6">
      <c r="A13" s="249" t="s">
        <v>5538</v>
      </c>
      <c r="B13" s="166" t="str">
        <f>Language!A473</f>
        <v>Are all critical pieces of equipment attached to uninterrupted power source (UPS) devices? (These provide temporary power until the generator can be activated)</v>
      </c>
      <c r="C13" s="415"/>
      <c r="F13" s="23">
        <f t="shared" si="0"/>
        <v>0</v>
      </c>
      <c r="G13" s="18" t="str">
        <f>IF(F13="Yes",1,IF(F13="Partial",0.5,IF(F13="No",0,"'")))</f>
        <v>'</v>
      </c>
      <c r="H13" s="557"/>
      <c r="I13" s="486"/>
    </row>
    <row r="14" spans="1:9" ht="28.2" customHeight="1">
      <c r="A14" s="249" t="s">
        <v>5539</v>
      </c>
      <c r="B14" s="539" t="str">
        <f>Language!A474</f>
        <v>In the last 6 months, has prolonged power failure disrupted the ability to provide routine bacteriology services?</v>
      </c>
      <c r="C14" s="415"/>
      <c r="F14" s="23">
        <f t="shared" si="0"/>
        <v>0</v>
      </c>
      <c r="G14" s="18" t="str">
        <f>IF(F14="No",1,IF(F14="Yes",0,"'"))</f>
        <v>'</v>
      </c>
      <c r="H14" s="416"/>
      <c r="I14" s="18" t="str">
        <f>IF(C14="Yes","System Flag","'")</f>
        <v>'</v>
      </c>
    </row>
    <row r="15" spans="1:9" ht="27.6">
      <c r="A15" s="249" t="s">
        <v>5540</v>
      </c>
      <c r="B15" s="163" t="str">
        <f>Language!A475</f>
        <v>Is there a contingency plan in place for continued testing in the event of prolonged electricity disruption (e.g., power outage lasting several days)?</v>
      </c>
      <c r="C15" s="415"/>
      <c r="F15" s="23">
        <f t="shared" si="0"/>
        <v>0</v>
      </c>
      <c r="G15" s="18" t="str">
        <f t="shared" ref="G15" si="2">IF(F15="Yes",1,IF(F15="No",0,"'"))</f>
        <v>'</v>
      </c>
      <c r="H15" s="416"/>
    </row>
    <row r="16" spans="1:9" ht="45" customHeight="1">
      <c r="A16" s="16"/>
      <c r="B16" s="623" t="str">
        <f>Language!A476</f>
        <v>Standard: ISO 15189: 5.2.5 &amp; 5.2.10 The laboratory space should be sufficient to ensure that the quality of work, the safety of personnel, and the ability of staff to carry out quality control procedures and documentation. The laboratory should be clean and well organized, free of clutter, well-ventilated, adequately lit, and within acceptable temperature ranges. Emergency power should be available for sensitive instruments, temperature controlled storage, and other essential equipment to prevent damage and disruption due to unexpected power fluctuations and outages. Sensitive instruments should be equipped with surge controls. Distilled and de-ionized water should be available, if required.</v>
      </c>
      <c r="C16" s="624"/>
      <c r="D16" s="624"/>
      <c r="E16" s="624"/>
      <c r="F16" s="624"/>
      <c r="G16" s="624"/>
      <c r="H16" s="624"/>
    </row>
    <row r="17" spans="1:11">
      <c r="A17" s="249" t="s">
        <v>5541</v>
      </c>
      <c r="B17" s="166" t="str">
        <f>Language!A477</f>
        <v>Describe the internet service in the laboratory</v>
      </c>
      <c r="C17" s="415"/>
      <c r="F17" s="23">
        <f>C17</f>
        <v>0</v>
      </c>
      <c r="G17" s="18" t="str">
        <f>IF(F17=1,1,IF(F17=2,0.5,IF(F17=3,0,"'")))</f>
        <v>'</v>
      </c>
      <c r="H17" s="416"/>
      <c r="I17" s="177" t="str">
        <f>IF(C17=2,"System Flag",IF(C17=3,"System Flag","'"))</f>
        <v>'</v>
      </c>
    </row>
    <row r="18" spans="1:11" ht="27.6">
      <c r="A18" s="16"/>
      <c r="B18" s="439" t="str">
        <f>Language!A478</f>
        <v>1: Continuous (service interruptions are rare) - 2: Sporadic (service interruptions are common) - 3: No internet available</v>
      </c>
    </row>
    <row r="19" spans="1:11" ht="16.2" thickBot="1">
      <c r="A19" s="16"/>
      <c r="B19" s="444"/>
      <c r="C19" s="227"/>
      <c r="D19" s="487"/>
      <c r="E19" s="194"/>
      <c r="F19" s="194"/>
      <c r="G19" s="194"/>
      <c r="H19" s="444"/>
    </row>
    <row r="20" spans="1:11" ht="16.2" thickBot="1">
      <c r="A20" s="159"/>
      <c r="B20" s="14" t="str">
        <f>Language!A479</f>
        <v>GENERAL EQUIPMENT AVAILABILITY</v>
      </c>
      <c r="C20" s="47" t="str">
        <f>IF(COUNTBLANK(C22:C42)=21,"???",IF(COUNT(G22:G42)=0,"NA",AVERAGE(G22:G42)))</f>
        <v>???</v>
      </c>
      <c r="H20" s="417"/>
    </row>
    <row r="21" spans="1:11" ht="55.2">
      <c r="A21" s="16"/>
      <c r="B21" s="59" t="str">
        <f>Language!A480</f>
        <v>Indicate whether the lab has the following FUNCTIONAL pieces of equipment. In column D (#), indicate how many pieces of FUNCTIONAL equipment are present. If the lab only has non-functional equipment, select "No" and write "non-functional" in the comments. Also indicate in the comments if the quantity of equipment is sufficient for the laboratory's volume of testing.</v>
      </c>
      <c r="C21" s="485" t="str">
        <f>Language!A631</f>
        <v>Functional equipment?</v>
      </c>
      <c r="D21" s="488" t="s">
        <v>5542</v>
      </c>
      <c r="F21" s="63"/>
      <c r="G21" s="63"/>
      <c r="H21" s="127" t="str">
        <f>Language!A632</f>
        <v>Please comment "insufficient" if the amount of functional equipment present is insufficient for the laboratory's volume of testing.</v>
      </c>
      <c r="I21" s="63"/>
      <c r="J21" s="71"/>
      <c r="K21" s="71"/>
    </row>
    <row r="22" spans="1:11" ht="28.2" customHeight="1">
      <c r="A22" s="249" t="s">
        <v>5543</v>
      </c>
      <c r="B22" s="248" t="str">
        <f>Language!A481</f>
        <v>McFarland QC standards of known densities, including 0.5, not expired</v>
      </c>
      <c r="C22" s="415"/>
      <c r="D22" s="418"/>
      <c r="F22" s="23">
        <f t="shared" ref="F22:F42" si="3">C22</f>
        <v>0</v>
      </c>
      <c r="G22" s="18" t="str">
        <f t="shared" ref="G22:G42" si="4">IF(F22="Yes",1,IF(F22="No",0,"'"))</f>
        <v>'</v>
      </c>
      <c r="H22" s="416"/>
    </row>
    <row r="23" spans="1:11">
      <c r="A23" s="249" t="s">
        <v>5544</v>
      </c>
      <c r="B23" s="248" t="str">
        <f>Language!A482</f>
        <v>Ruler or caliper with millimeter markings</v>
      </c>
      <c r="C23" s="415"/>
      <c r="D23" s="418"/>
      <c r="F23" s="23">
        <f t="shared" si="3"/>
        <v>0</v>
      </c>
      <c r="G23" s="18" t="str">
        <f t="shared" si="4"/>
        <v>'</v>
      </c>
      <c r="H23" s="416"/>
    </row>
    <row r="24" spans="1:11">
      <c r="A24" s="249" t="s">
        <v>5545</v>
      </c>
      <c r="B24" s="248" t="str">
        <f>Language!A483</f>
        <v>Bunsen burners or micro-incinerators</v>
      </c>
      <c r="C24" s="415"/>
      <c r="D24" s="418"/>
      <c r="F24" s="23">
        <f t="shared" si="3"/>
        <v>0</v>
      </c>
      <c r="G24" s="18" t="str">
        <f t="shared" si="4"/>
        <v>'</v>
      </c>
      <c r="H24" s="416"/>
    </row>
    <row r="25" spans="1:11">
      <c r="A25" s="249" t="s">
        <v>5546</v>
      </c>
      <c r="B25" s="248" t="str">
        <f>Language!A484</f>
        <v>Calibrated 1µL or 10µL loops (for plating urine cultures)</v>
      </c>
      <c r="C25" s="415"/>
      <c r="D25" s="419" t="str">
        <f>IF(C25="Yes",1,IF(C25="No",0,"na"))</f>
        <v>na</v>
      </c>
      <c r="F25" s="23">
        <f t="shared" si="3"/>
        <v>0</v>
      </c>
      <c r="G25" s="18" t="str">
        <f t="shared" si="4"/>
        <v>'</v>
      </c>
      <c r="H25" s="421"/>
    </row>
    <row r="26" spans="1:11">
      <c r="A26" s="249" t="s">
        <v>5547</v>
      </c>
      <c r="B26" s="248" t="str">
        <f>Language!A485</f>
        <v>Optical densitometer/turbidimeter (for determining McFarland density)</v>
      </c>
      <c r="C26" s="415"/>
      <c r="D26" s="418"/>
      <c r="F26" s="23">
        <f t="shared" si="3"/>
        <v>0</v>
      </c>
      <c r="G26" s="18" t="str">
        <f t="shared" si="4"/>
        <v>'</v>
      </c>
      <c r="H26" s="421"/>
    </row>
    <row r="27" spans="1:11">
      <c r="A27" s="249" t="s">
        <v>5548</v>
      </c>
      <c r="B27" s="248" t="str">
        <f>Language!A486</f>
        <v>Microliter pipettes (e.g., Eppendorf)</v>
      </c>
      <c r="C27" s="415"/>
      <c r="D27" s="418"/>
      <c r="F27" s="23">
        <f t="shared" si="3"/>
        <v>0</v>
      </c>
      <c r="G27" s="18" t="str">
        <f t="shared" si="4"/>
        <v>'</v>
      </c>
      <c r="H27" s="416"/>
    </row>
    <row r="28" spans="1:11">
      <c r="A28" s="249" t="s">
        <v>5549</v>
      </c>
      <c r="B28" s="248" t="str">
        <f>Language!A487</f>
        <v>Centrifuge (not used for TB cultures)</v>
      </c>
      <c r="C28" s="415"/>
      <c r="D28" s="418"/>
      <c r="F28" s="23">
        <f t="shared" si="3"/>
        <v>0</v>
      </c>
      <c r="G28" s="18" t="str">
        <f t="shared" si="4"/>
        <v>'</v>
      </c>
      <c r="H28" s="421"/>
    </row>
    <row r="29" spans="1:11">
      <c r="A29" s="249" t="s">
        <v>5550</v>
      </c>
      <c r="B29" s="248" t="str">
        <f>Language!A488</f>
        <v>Microscope</v>
      </c>
      <c r="C29" s="415"/>
      <c r="D29" s="418"/>
      <c r="F29" s="23">
        <f t="shared" si="3"/>
        <v>0</v>
      </c>
      <c r="G29" s="18" t="str">
        <f t="shared" si="4"/>
        <v>'</v>
      </c>
      <c r="H29" s="421"/>
    </row>
    <row r="30" spans="1:11">
      <c r="A30" s="249" t="s">
        <v>5551</v>
      </c>
      <c r="B30" s="248" t="str">
        <f>Language!A489</f>
        <v>Thermometers</v>
      </c>
      <c r="C30" s="415"/>
      <c r="D30" s="418"/>
      <c r="F30" s="23">
        <f t="shared" si="3"/>
        <v>0</v>
      </c>
      <c r="G30" s="18" t="str">
        <f t="shared" si="4"/>
        <v>'</v>
      </c>
      <c r="H30" s="421"/>
    </row>
    <row r="31" spans="1:11">
      <c r="A31" s="249" t="s">
        <v>5552</v>
      </c>
      <c r="B31" s="248" t="str">
        <f>Language!A490</f>
        <v>CO2 incubators</v>
      </c>
      <c r="C31" s="415"/>
      <c r="D31" s="418"/>
      <c r="F31" s="23">
        <f t="shared" si="3"/>
        <v>0</v>
      </c>
      <c r="G31" s="18" t="str">
        <f t="shared" si="4"/>
        <v>'</v>
      </c>
      <c r="H31" s="420"/>
    </row>
    <row r="32" spans="1:11">
      <c r="A32" s="249" t="s">
        <v>5553</v>
      </c>
      <c r="B32" s="250" t="str">
        <f>Language!A491</f>
        <v>Candle jars</v>
      </c>
      <c r="C32" s="415"/>
      <c r="D32" s="418"/>
      <c r="F32" s="23">
        <f t="shared" si="3"/>
        <v>0</v>
      </c>
      <c r="G32" s="18" t="str">
        <f t="shared" si="4"/>
        <v>'</v>
      </c>
      <c r="H32" s="420"/>
    </row>
    <row r="33" spans="1:10">
      <c r="A33" s="249" t="s">
        <v>5554</v>
      </c>
      <c r="B33" s="248" t="str">
        <f>Language!A492</f>
        <v>Ambient (non-CO2) incubator</v>
      </c>
      <c r="C33" s="415"/>
      <c r="D33" s="418"/>
      <c r="F33" s="23">
        <f t="shared" si="3"/>
        <v>0</v>
      </c>
      <c r="G33" s="18" t="str">
        <f t="shared" si="4"/>
        <v>'</v>
      </c>
      <c r="H33" s="421"/>
    </row>
    <row r="34" spans="1:10">
      <c r="A34" s="249" t="s">
        <v>5555</v>
      </c>
      <c r="B34" s="248" t="str">
        <f>Language!A493</f>
        <v>Refrigerator (2-8°C)</v>
      </c>
      <c r="C34" s="415"/>
      <c r="D34" s="418"/>
      <c r="F34" s="23">
        <f t="shared" si="3"/>
        <v>0</v>
      </c>
      <c r="G34" s="18" t="str">
        <f t="shared" si="4"/>
        <v>'</v>
      </c>
      <c r="H34" s="421"/>
    </row>
    <row r="35" spans="1:10">
      <c r="A35" s="249" t="s">
        <v>5556</v>
      </c>
      <c r="B35" s="248" t="str">
        <f>Language!A494</f>
        <v xml:space="preserve">Non-defrosting freezer, -20°C </v>
      </c>
      <c r="C35" s="415"/>
      <c r="D35" s="418"/>
      <c r="F35" s="23">
        <f t="shared" si="3"/>
        <v>0</v>
      </c>
      <c r="G35" s="18" t="str">
        <f t="shared" si="4"/>
        <v>'</v>
      </c>
      <c r="H35" s="421"/>
    </row>
    <row r="36" spans="1:10">
      <c r="A36" s="249" t="s">
        <v>5557</v>
      </c>
      <c r="B36" s="251" t="str">
        <f>Language!A495</f>
        <v>Non-defrosting freezer, -60°C</v>
      </c>
      <c r="C36" s="415"/>
      <c r="D36" s="418"/>
      <c r="F36" s="23">
        <f t="shared" si="3"/>
        <v>0</v>
      </c>
      <c r="G36" s="18" t="str">
        <f t="shared" si="4"/>
        <v>'</v>
      </c>
      <c r="H36" s="421"/>
    </row>
    <row r="37" spans="1:10">
      <c r="A37" s="249" t="s">
        <v>5558</v>
      </c>
      <c r="B37" s="248" t="str">
        <f>Language!A496</f>
        <v xml:space="preserve">Non-defrosting freezer, -80°C </v>
      </c>
      <c r="C37" s="415"/>
      <c r="D37" s="418"/>
      <c r="F37" s="23">
        <f t="shared" si="3"/>
        <v>0</v>
      </c>
      <c r="G37" s="18" t="str">
        <f t="shared" si="4"/>
        <v>'</v>
      </c>
      <c r="H37" s="421"/>
    </row>
    <row r="38" spans="1:10">
      <c r="A38" s="249" t="s">
        <v>5559</v>
      </c>
      <c r="B38" s="248" t="str">
        <f>Language!A497</f>
        <v>Rechargeable desiccants (for storage of open antibiotic disks and strips)</v>
      </c>
      <c r="C38" s="415"/>
      <c r="D38" s="419" t="str">
        <f>IF(C38="Yes",1,IF(C38="No",0,"na"))</f>
        <v>na</v>
      </c>
      <c r="F38" s="23">
        <f t="shared" si="3"/>
        <v>0</v>
      </c>
      <c r="G38" s="18" t="str">
        <f t="shared" si="4"/>
        <v>'</v>
      </c>
      <c r="H38" s="421"/>
    </row>
    <row r="39" spans="1:10">
      <c r="A39" s="249" t="s">
        <v>5560</v>
      </c>
      <c r="B39" s="248" t="str">
        <f>Language!A498</f>
        <v>Hot air oven (for drying saturated desiccants)</v>
      </c>
      <c r="C39" s="415"/>
      <c r="D39" s="418"/>
      <c r="F39" s="23">
        <f t="shared" si="3"/>
        <v>0</v>
      </c>
      <c r="G39" s="18" t="str">
        <f t="shared" si="4"/>
        <v>'</v>
      </c>
      <c r="H39" s="421"/>
    </row>
    <row r="40" spans="1:10">
      <c r="A40" s="249" t="s">
        <v>5561</v>
      </c>
      <c r="B40" s="248" t="str">
        <f>Language!A499</f>
        <v>Biological Safety Cabinet Class IIA</v>
      </c>
      <c r="C40" s="415"/>
      <c r="D40" s="418"/>
      <c r="F40" s="23">
        <f t="shared" si="3"/>
        <v>0</v>
      </c>
      <c r="G40" s="18" t="str">
        <f t="shared" si="4"/>
        <v>'</v>
      </c>
      <c r="H40" s="421"/>
      <c r="I40" s="18" t="str">
        <f>IF(C40="No","Red Flag","'")</f>
        <v>'</v>
      </c>
    </row>
    <row r="41" spans="1:10">
      <c r="A41" s="249" t="s">
        <v>5562</v>
      </c>
      <c r="B41" s="248" t="str">
        <f>Language!A500</f>
        <v>Autoclave for media preparation ("clean" autoclave)</v>
      </c>
      <c r="C41" s="415"/>
      <c r="D41" s="418"/>
      <c r="F41" s="23">
        <f t="shared" si="3"/>
        <v>0</v>
      </c>
      <c r="G41" s="18" t="str">
        <f t="shared" si="4"/>
        <v>'</v>
      </c>
      <c r="H41" s="421"/>
    </row>
    <row r="42" spans="1:10" ht="16.2" thickBot="1">
      <c r="A42" s="249" t="s">
        <v>5563</v>
      </c>
      <c r="B42" s="248" t="str">
        <f>Language!A501</f>
        <v>Autoclave for sterlizing waste ("dirty" autoclave)</v>
      </c>
      <c r="C42" s="415"/>
      <c r="D42" s="418"/>
      <c r="F42" s="23">
        <f t="shared" si="3"/>
        <v>0</v>
      </c>
      <c r="G42" s="18" t="str">
        <f t="shared" si="4"/>
        <v>'</v>
      </c>
      <c r="H42" s="416"/>
    </row>
    <row r="43" spans="1:10" ht="16.2" thickBot="1">
      <c r="A43" s="159"/>
      <c r="B43" s="252" t="str">
        <f>Language!A502</f>
        <v>MEDIA PREPARATION EQUIPMENT AVAILABILITY</v>
      </c>
      <c r="C43" s="44" t="str">
        <f>IF(COUNTBLANK(C47:C52)=6,"???",IF(COUNT(G47:G52)=0,"NA",AVERAGE(G47:G52)))</f>
        <v>???</v>
      </c>
      <c r="F43" s="28"/>
      <c r="H43" s="417"/>
    </row>
    <row r="44" spans="1:10" ht="28.2" customHeight="1">
      <c r="A44" s="253" t="s">
        <v>5564</v>
      </c>
      <c r="B44" s="163" t="str">
        <f>Language!A503</f>
        <v>Does the lab prepare any media or distilled water? (e.g., blood agar, Mueller Hinton agar, blood culture bottles)</v>
      </c>
      <c r="C44" s="246"/>
      <c r="H44" s="422"/>
      <c r="J44" s="489"/>
    </row>
    <row r="45" spans="1:10">
      <c r="A45" s="16"/>
      <c r="B45" s="439" t="str">
        <f>Language!A504</f>
        <v>If No, answer NA until next section</v>
      </c>
      <c r="C45" s="22"/>
      <c r="F45" s="29"/>
      <c r="G45" s="18"/>
    </row>
    <row r="46" spans="1:10" ht="27.6">
      <c r="A46" s="16"/>
      <c r="B46" s="59" t="str">
        <f>Language!A505</f>
        <v>Indicate whether the lab is currently using the following FUNCTIONAL pieces of equipment. If the lab has only non-functional equipment, select "No" and note "non-functional" in the comments.</v>
      </c>
      <c r="D46" s="268" t="s">
        <v>5542</v>
      </c>
      <c r="F46" s="29"/>
      <c r="G46" s="18"/>
      <c r="H46" s="490"/>
    </row>
    <row r="47" spans="1:10">
      <c r="A47" s="253" t="s">
        <v>5565</v>
      </c>
      <c r="B47" s="248" t="str">
        <f>Language!A506</f>
        <v>pH meter</v>
      </c>
      <c r="C47" s="246"/>
      <c r="D47" s="418"/>
      <c r="F47" s="29">
        <f t="shared" ref="F47:F52" si="5">C47</f>
        <v>0</v>
      </c>
      <c r="G47" s="18" t="str">
        <f t="shared" ref="G47:G52" si="6">IF(F47="Yes",1,IF(F47="No",0,"'"))</f>
        <v>'</v>
      </c>
      <c r="H47" s="422"/>
    </row>
    <row r="48" spans="1:10">
      <c r="A48" s="253" t="s">
        <v>5566</v>
      </c>
      <c r="B48" s="248" t="str">
        <f>Language!A507</f>
        <v>Weighing balance</v>
      </c>
      <c r="C48" s="246"/>
      <c r="D48" s="418"/>
      <c r="F48" s="29">
        <f t="shared" si="5"/>
        <v>0</v>
      </c>
      <c r="G48" s="18" t="str">
        <f t="shared" si="6"/>
        <v>'</v>
      </c>
      <c r="H48" s="422"/>
    </row>
    <row r="49" spans="1:9">
      <c r="A49" s="253" t="s">
        <v>5567</v>
      </c>
      <c r="B49" s="248" t="str">
        <f>Language!A508</f>
        <v>Conductivity meter</v>
      </c>
      <c r="C49" s="246"/>
      <c r="D49" s="418"/>
      <c r="F49" s="29">
        <f t="shared" si="5"/>
        <v>0</v>
      </c>
      <c r="G49" s="18" t="str">
        <f t="shared" si="6"/>
        <v>'</v>
      </c>
      <c r="H49" s="422"/>
    </row>
    <row r="50" spans="1:9">
      <c r="A50" s="253" t="s">
        <v>5568</v>
      </c>
      <c r="B50" s="248" t="str">
        <f>Language!A509</f>
        <v>Distiller/reverse osmosis equipment</v>
      </c>
      <c r="C50" s="246"/>
      <c r="D50" s="418"/>
      <c r="F50" s="29">
        <f t="shared" si="5"/>
        <v>0</v>
      </c>
      <c r="G50" s="18" t="str">
        <f t="shared" si="6"/>
        <v>'</v>
      </c>
      <c r="H50" s="422"/>
    </row>
    <row r="51" spans="1:9">
      <c r="A51" s="253" t="s">
        <v>5569</v>
      </c>
      <c r="B51" s="248" t="str">
        <f>Language!A510</f>
        <v>Hot plate with magnetic stir bar (for mixing powdered media)</v>
      </c>
      <c r="C51" s="246"/>
      <c r="D51" s="418"/>
      <c r="F51" s="29">
        <f t="shared" si="5"/>
        <v>0</v>
      </c>
      <c r="G51" s="18" t="str">
        <f t="shared" si="6"/>
        <v>'</v>
      </c>
      <c r="H51" s="422"/>
    </row>
    <row r="52" spans="1:9" ht="16.2" thickBot="1">
      <c r="A52" s="253" t="s">
        <v>5570</v>
      </c>
      <c r="B52" s="248" t="str">
        <f>Language!A511</f>
        <v>Water bath</v>
      </c>
      <c r="C52" s="246"/>
      <c r="D52" s="418"/>
      <c r="F52" s="29">
        <f t="shared" si="5"/>
        <v>0</v>
      </c>
      <c r="G52" s="18" t="str">
        <f t="shared" si="6"/>
        <v>'</v>
      </c>
      <c r="H52" s="422"/>
    </row>
    <row r="53" spans="1:9" ht="16.2" thickBot="1">
      <c r="A53" s="159"/>
      <c r="B53" s="14" t="str">
        <f>Language!A512</f>
        <v>EQUIPMENT CALIBRATION  RECORDS</v>
      </c>
      <c r="C53" s="47" t="str">
        <f>IF(COUNTBLANK(C55:C66)=12,"???",IF(COUNT(G55:G66)=0,"NA",AVERAGE(G55:G66)))</f>
        <v>???</v>
      </c>
      <c r="H53" s="417"/>
    </row>
    <row r="54" spans="1:9" ht="27.6">
      <c r="A54" s="16"/>
      <c r="B54" s="8" t="str">
        <f>Language!A513</f>
        <v>Review the calibration records for each piece of equipment. Has calibration been performed within the last year?   (Select NA only if the lab does not have the equipment.)</v>
      </c>
      <c r="H54" s="22"/>
    </row>
    <row r="55" spans="1:9">
      <c r="A55" s="253" t="s">
        <v>5571</v>
      </c>
      <c r="B55" s="248" t="str">
        <f>Language!A514</f>
        <v>Optical Densitometer (for determining McFarland density)</v>
      </c>
      <c r="C55" s="415"/>
      <c r="F55" s="23">
        <f t="shared" ref="F55:F66" si="7">C55</f>
        <v>0</v>
      </c>
      <c r="G55" s="18" t="str">
        <f t="shared" ref="G55:G66" si="8">IF(F55="Yes",1,IF(F55="No",0,"'"))</f>
        <v>'</v>
      </c>
      <c r="H55" s="416"/>
    </row>
    <row r="56" spans="1:9">
      <c r="A56" s="253" t="s">
        <v>5572</v>
      </c>
      <c r="B56" s="248" t="str">
        <f>Language!A515</f>
        <v>Microliter pipettes (e.g., Eppendorf)</v>
      </c>
      <c r="C56" s="415"/>
      <c r="F56" s="23">
        <f t="shared" si="7"/>
        <v>0</v>
      </c>
      <c r="G56" s="18" t="str">
        <f t="shared" si="8"/>
        <v>'</v>
      </c>
      <c r="H56" s="416"/>
    </row>
    <row r="57" spans="1:9">
      <c r="A57" s="253" t="s">
        <v>5573</v>
      </c>
      <c r="B57" s="248" t="str">
        <f>Language!A516</f>
        <v>Centrifuge</v>
      </c>
      <c r="C57" s="415"/>
      <c r="F57" s="23">
        <f t="shared" si="7"/>
        <v>0</v>
      </c>
      <c r="G57" s="18" t="str">
        <f t="shared" si="8"/>
        <v>'</v>
      </c>
      <c r="H57" s="416"/>
    </row>
    <row r="58" spans="1:9">
      <c r="A58" s="253" t="s">
        <v>5574</v>
      </c>
      <c r="B58" s="248" t="str">
        <f>Language!A517</f>
        <v>Thermometers</v>
      </c>
      <c r="C58" s="415"/>
      <c r="F58" s="23">
        <f t="shared" si="7"/>
        <v>0</v>
      </c>
      <c r="G58" s="18" t="str">
        <f t="shared" si="8"/>
        <v>'</v>
      </c>
      <c r="H58" s="416"/>
    </row>
    <row r="59" spans="1:9">
      <c r="A59" s="253" t="s">
        <v>5575</v>
      </c>
      <c r="B59" s="248" t="str">
        <f>Language!A518</f>
        <v>pH meter</v>
      </c>
      <c r="C59" s="415"/>
      <c r="F59" s="23">
        <f t="shared" si="7"/>
        <v>0</v>
      </c>
      <c r="G59" s="18" t="str">
        <f t="shared" si="8"/>
        <v>'</v>
      </c>
      <c r="H59" s="416"/>
    </row>
    <row r="60" spans="1:9">
      <c r="A60" s="253" t="s">
        <v>5576</v>
      </c>
      <c r="B60" s="248" t="str">
        <f>Language!A519</f>
        <v>Conductivity meter</v>
      </c>
      <c r="C60" s="415"/>
      <c r="F60" s="23">
        <f t="shared" si="7"/>
        <v>0</v>
      </c>
      <c r="G60" s="18" t="str">
        <f t="shared" si="8"/>
        <v>'</v>
      </c>
      <c r="H60" s="416"/>
    </row>
    <row r="61" spans="1:9">
      <c r="A61" s="253" t="s">
        <v>5577</v>
      </c>
      <c r="B61" s="248" t="str">
        <f>Language!A520</f>
        <v>CO2 incubator</v>
      </c>
      <c r="C61" s="415"/>
      <c r="F61" s="23">
        <f t="shared" si="7"/>
        <v>0</v>
      </c>
      <c r="G61" s="18" t="str">
        <f t="shared" si="8"/>
        <v>'</v>
      </c>
      <c r="H61" s="416"/>
    </row>
    <row r="62" spans="1:9">
      <c r="A62" s="253" t="s">
        <v>5578</v>
      </c>
      <c r="B62" s="248" t="str">
        <f>Language!A521</f>
        <v>Ambient (non-CO2) incubator</v>
      </c>
      <c r="C62" s="415"/>
      <c r="F62" s="23">
        <f t="shared" si="7"/>
        <v>0</v>
      </c>
      <c r="G62" s="18" t="str">
        <f t="shared" si="8"/>
        <v>'</v>
      </c>
      <c r="H62" s="416"/>
    </row>
    <row r="63" spans="1:9">
      <c r="A63" s="253" t="s">
        <v>5579</v>
      </c>
      <c r="B63" s="248" t="str">
        <f>Language!A522</f>
        <v>Hot air oven for recharging desiccants</v>
      </c>
      <c r="C63" s="415"/>
      <c r="F63" s="23">
        <f t="shared" si="7"/>
        <v>0</v>
      </c>
      <c r="G63" s="18" t="str">
        <f t="shared" si="8"/>
        <v>'</v>
      </c>
      <c r="H63" s="416"/>
    </row>
    <row r="64" spans="1:9">
      <c r="A64" s="253" t="s">
        <v>5580</v>
      </c>
      <c r="B64" s="248" t="str">
        <f>Language!A523</f>
        <v>Biological Safety Cabinet Class IIA</v>
      </c>
      <c r="C64" s="415"/>
      <c r="F64" s="23">
        <f t="shared" si="7"/>
        <v>0</v>
      </c>
      <c r="G64" s="18" t="str">
        <f t="shared" si="8"/>
        <v>'</v>
      </c>
      <c r="H64" s="416"/>
      <c r="I64" s="18" t="str">
        <f>IF(C64="No","Red Flag","'")</f>
        <v>'</v>
      </c>
    </row>
    <row r="65" spans="1:8">
      <c r="A65" s="253" t="s">
        <v>5581</v>
      </c>
      <c r="B65" s="248" t="str">
        <f>Language!A524</f>
        <v>Weighing balance</v>
      </c>
      <c r="C65" s="415"/>
      <c r="F65" s="23">
        <f t="shared" si="7"/>
        <v>0</v>
      </c>
      <c r="G65" s="18" t="str">
        <f t="shared" si="8"/>
        <v>'</v>
      </c>
      <c r="H65" s="416"/>
    </row>
    <row r="66" spans="1:8" ht="16.2" thickBot="1">
      <c r="A66" s="253" t="s">
        <v>5582</v>
      </c>
      <c r="B66" s="248" t="str">
        <f>Language!A525</f>
        <v>Water bath</v>
      </c>
      <c r="C66" s="415"/>
      <c r="F66" s="23">
        <f t="shared" si="7"/>
        <v>0</v>
      </c>
      <c r="G66" s="18" t="str">
        <f t="shared" si="8"/>
        <v>'</v>
      </c>
      <c r="H66" s="416"/>
    </row>
    <row r="67" spans="1:8" ht="16.2" thickBot="1">
      <c r="A67" s="159"/>
      <c r="B67" s="14" t="str">
        <f>Language!A526</f>
        <v>THERMOMETERS</v>
      </c>
      <c r="C67" s="47" t="str">
        <f>IF(COUNTBLANK(C69:C77)=9,"???",IF(COUNT(G69:G77)=0,"NA",AVERAGE(G69:G77)))</f>
        <v>???</v>
      </c>
      <c r="H67" s="417"/>
    </row>
    <row r="68" spans="1:8" ht="27.6">
      <c r="A68" s="16"/>
      <c r="B68" s="8" t="str">
        <f>Language!A527</f>
        <v>Indicate if manual (non-digital) thermometers are present inside each piece of equipment. (Select NA if the lab does not have the equipment.)</v>
      </c>
    </row>
    <row r="69" spans="1:8">
      <c r="A69" s="253" t="s">
        <v>5583</v>
      </c>
      <c r="B69" s="248" t="str">
        <f>Language!A528</f>
        <v>CO2 incubator</v>
      </c>
      <c r="C69" s="415"/>
      <c r="F69" s="23">
        <f t="shared" ref="F69:F77" si="9">C69</f>
        <v>0</v>
      </c>
      <c r="G69" s="18" t="str">
        <f t="shared" ref="G69:G77" si="10">IF(F69="Yes",1,IF(F69="No",0,"'"))</f>
        <v>'</v>
      </c>
      <c r="H69" s="416"/>
    </row>
    <row r="70" spans="1:8">
      <c r="A70" s="253" t="s">
        <v>5584</v>
      </c>
      <c r="B70" s="248" t="str">
        <f>Language!A529</f>
        <v>Ambient (non-CO2) incubator</v>
      </c>
      <c r="C70" s="415"/>
      <c r="F70" s="23">
        <f t="shared" si="9"/>
        <v>0</v>
      </c>
      <c r="G70" s="18" t="str">
        <f t="shared" si="10"/>
        <v>'</v>
      </c>
      <c r="H70" s="416"/>
    </row>
    <row r="71" spans="1:8">
      <c r="A71" s="253" t="s">
        <v>5585</v>
      </c>
      <c r="B71" s="248" t="str">
        <f>Language!A530</f>
        <v>Refrigerator (2-8°C)</v>
      </c>
      <c r="C71" s="415"/>
      <c r="F71" s="23">
        <f t="shared" si="9"/>
        <v>0</v>
      </c>
      <c r="G71" s="18" t="str">
        <f t="shared" si="10"/>
        <v>'</v>
      </c>
      <c r="H71" s="416"/>
    </row>
    <row r="72" spans="1:8">
      <c r="A72" s="253" t="s">
        <v>5586</v>
      </c>
      <c r="B72" s="248" t="str">
        <f>Language!A531</f>
        <v xml:space="preserve">Non-defrosting freezer, -20°C </v>
      </c>
      <c r="C72" s="415"/>
      <c r="F72" s="23">
        <f t="shared" si="9"/>
        <v>0</v>
      </c>
      <c r="G72" s="18" t="str">
        <f t="shared" si="10"/>
        <v>'</v>
      </c>
      <c r="H72" s="416"/>
    </row>
    <row r="73" spans="1:8">
      <c r="A73" s="253" t="s">
        <v>5587</v>
      </c>
      <c r="B73" s="251" t="str">
        <f>Language!A532</f>
        <v xml:space="preserve">Non-defrosting freezer, -60°C </v>
      </c>
      <c r="C73" s="415"/>
      <c r="F73" s="23">
        <f t="shared" si="9"/>
        <v>0</v>
      </c>
      <c r="G73" s="18" t="str">
        <f t="shared" si="10"/>
        <v>'</v>
      </c>
      <c r="H73" s="416"/>
    </row>
    <row r="74" spans="1:8">
      <c r="A74" s="253" t="s">
        <v>5588</v>
      </c>
      <c r="B74" s="248" t="str">
        <f>Language!A533</f>
        <v xml:space="preserve">Non-defrosting freezer, -80°C </v>
      </c>
      <c r="C74" s="415"/>
      <c r="F74" s="23">
        <f t="shared" si="9"/>
        <v>0</v>
      </c>
      <c r="G74" s="18" t="str">
        <f t="shared" si="10"/>
        <v>'</v>
      </c>
      <c r="H74" s="416"/>
    </row>
    <row r="75" spans="1:8">
      <c r="A75" s="253" t="s">
        <v>5589</v>
      </c>
      <c r="B75" s="248" t="str">
        <f>Language!A534</f>
        <v>Hot air oven (for recharging desiccants)</v>
      </c>
      <c r="C75" s="415"/>
      <c r="F75" s="23">
        <f t="shared" si="9"/>
        <v>0</v>
      </c>
      <c r="G75" s="18" t="str">
        <f t="shared" si="10"/>
        <v>'</v>
      </c>
      <c r="H75" s="416"/>
    </row>
    <row r="76" spans="1:8">
      <c r="A76" s="253" t="s">
        <v>5590</v>
      </c>
      <c r="B76" s="248" t="str">
        <f>Language!A535</f>
        <v>Hot plate with magnetic stir bar (for mixing powdered media)</v>
      </c>
      <c r="C76" s="415"/>
      <c r="F76" s="23">
        <f t="shared" si="9"/>
        <v>0</v>
      </c>
      <c r="G76" s="18" t="str">
        <f t="shared" si="10"/>
        <v>'</v>
      </c>
      <c r="H76" s="416"/>
    </row>
    <row r="77" spans="1:8" ht="16.2" thickBot="1">
      <c r="A77" s="253" t="s">
        <v>5591</v>
      </c>
      <c r="B77" s="248" t="str">
        <f>Language!A536</f>
        <v>Water bath</v>
      </c>
      <c r="C77" s="415"/>
      <c r="F77" s="23">
        <f t="shared" si="9"/>
        <v>0</v>
      </c>
      <c r="G77" s="18" t="str">
        <f t="shared" si="10"/>
        <v>'</v>
      </c>
      <c r="H77" s="416"/>
    </row>
    <row r="78" spans="1:8" ht="16.2" thickBot="1">
      <c r="A78" s="159"/>
      <c r="B78" s="86" t="str">
        <f>Language!A537</f>
        <v>TEMPERATURE AND ATMOSPHERE MONITORING</v>
      </c>
      <c r="C78" s="72" t="str">
        <f>IF(COUNTBLANK(C83:C108)=26,"???",IF(COUNT(G83:G108)=0,"NA",AVERAGE(G83:G108)))</f>
        <v>???</v>
      </c>
      <c r="F78" s="28"/>
      <c r="H78" s="417"/>
    </row>
    <row r="79" spans="1:8">
      <c r="A79" s="16"/>
      <c r="B79" s="621" t="str">
        <f>Language!A538</f>
        <v>Observe if acceptable min/max temperature ranges have been clearly defined on record sheets for the following areas/equipment and if temperature checks are documented daily. Tick NA if the piece of equipment in question is not in use in the lab.</v>
      </c>
      <c r="C79" s="84" t="e">
        <f>AVERAGE(G83,G86,G89,G92,G95,G98,G101,G105)</f>
        <v>#DIV/0!</v>
      </c>
      <c r="H79" s="333" t="str">
        <f>Language!A633</f>
        <v>Temperature recorded</v>
      </c>
    </row>
    <row r="80" spans="1:8">
      <c r="A80" s="16"/>
      <c r="B80" s="622" t="e">
        <f>Language!#REF!</f>
        <v>#REF!</v>
      </c>
      <c r="C80" s="84" t="e">
        <f>AVERAGE(G84,G87,G90,G93,G96,G99,G102,G106)</f>
        <v>#DIV/0!</v>
      </c>
      <c r="H80" s="333" t="str">
        <f>Language!A634</f>
        <v>Ranges defined</v>
      </c>
    </row>
    <row r="81" spans="1:8">
      <c r="A81" s="16"/>
      <c r="B81" s="622" t="e">
        <f>Language!#REF!</f>
        <v>#REF!</v>
      </c>
      <c r="C81" s="28"/>
      <c r="F81" s="28"/>
    </row>
    <row r="82" spans="1:8">
      <c r="A82" s="229"/>
      <c r="B82" s="45" t="str">
        <f>Language!A539</f>
        <v>Room temperature</v>
      </c>
      <c r="C82" s="22"/>
      <c r="H82" s="490"/>
    </row>
    <row r="83" spans="1:8">
      <c r="A83" s="253" t="s">
        <v>5592</v>
      </c>
      <c r="B83" s="248" t="str">
        <f>Language!A540</f>
        <v>Are temperatures recorded each day of use?</v>
      </c>
      <c r="C83" s="246"/>
      <c r="F83" s="29">
        <f>C83</f>
        <v>0</v>
      </c>
      <c r="G83" s="18" t="str">
        <f t="shared" ref="G83:G84" si="11">IF(F83="Yes",1,IF(F83="No",0,"'"))</f>
        <v>'</v>
      </c>
      <c r="H83" s="422"/>
    </row>
    <row r="84" spans="1:8" ht="28.2" customHeight="1">
      <c r="A84" s="253" t="s">
        <v>5593</v>
      </c>
      <c r="B84" s="248" t="str">
        <f>Language!A541</f>
        <v>Is the acceptable temperature range (the minimum and maximum) clearly defined on the record sheet?</v>
      </c>
      <c r="C84" s="246"/>
      <c r="F84" s="29">
        <f>C84</f>
        <v>0</v>
      </c>
      <c r="G84" s="18" t="str">
        <f t="shared" si="11"/>
        <v>'</v>
      </c>
      <c r="H84" s="422"/>
    </row>
    <row r="85" spans="1:8">
      <c r="A85" s="153"/>
      <c r="B85" s="45" t="str">
        <f>Language!A542</f>
        <v>Freezers, -20°C</v>
      </c>
      <c r="C85" s="22"/>
      <c r="F85" s="28"/>
      <c r="H85" s="259"/>
    </row>
    <row r="86" spans="1:8">
      <c r="A86" s="253" t="s">
        <v>5594</v>
      </c>
      <c r="B86" s="248" t="str">
        <f>Language!A543</f>
        <v>Are temperatures recorded each day of use?</v>
      </c>
      <c r="C86" s="246"/>
      <c r="F86" s="29">
        <f>C86</f>
        <v>0</v>
      </c>
      <c r="G86" s="18" t="str">
        <f t="shared" ref="G86:G87" si="12">IF(F86="Yes",1,IF(F86="No",0,"'"))</f>
        <v>'</v>
      </c>
      <c r="H86" s="422"/>
    </row>
    <row r="87" spans="1:8" ht="28.2" customHeight="1">
      <c r="A87" s="253" t="s">
        <v>5595</v>
      </c>
      <c r="B87" s="248" t="str">
        <f>Language!A544</f>
        <v>Is the acceptable temperature range (the minimum and maximum) clearly defined on the record sheet?</v>
      </c>
      <c r="C87" s="246"/>
      <c r="F87" s="29">
        <f>C87</f>
        <v>0</v>
      </c>
      <c r="G87" s="18" t="str">
        <f t="shared" si="12"/>
        <v>'</v>
      </c>
      <c r="H87" s="422"/>
    </row>
    <row r="88" spans="1:8">
      <c r="A88" s="153"/>
      <c r="B88" s="152" t="str">
        <f>Language!A545</f>
        <v>Freezers, -60°C</v>
      </c>
      <c r="C88" s="22"/>
      <c r="F88" s="28"/>
      <c r="H88" s="259"/>
    </row>
    <row r="89" spans="1:8">
      <c r="A89" s="253" t="s">
        <v>5596</v>
      </c>
      <c r="B89" s="251" t="str">
        <f>Language!A546</f>
        <v>Are temperatures recorded each day of use?</v>
      </c>
      <c r="C89" s="246"/>
      <c r="F89" s="29">
        <f>C89</f>
        <v>0</v>
      </c>
      <c r="G89" s="18" t="str">
        <f t="shared" ref="G89:G90" si="13">IF(F89="Yes",1,IF(F89="No",0,"'"))</f>
        <v>'</v>
      </c>
      <c r="H89" s="422"/>
    </row>
    <row r="90" spans="1:8" ht="28.2" customHeight="1">
      <c r="A90" s="253" t="s">
        <v>5597</v>
      </c>
      <c r="B90" s="248" t="str">
        <f>Language!A547</f>
        <v>Is the acceptable temperature range (the minimum and maximum) clearly defined on the record sheet?</v>
      </c>
      <c r="C90" s="246"/>
      <c r="F90" s="29">
        <f>C90</f>
        <v>0</v>
      </c>
      <c r="G90" s="18" t="str">
        <f t="shared" si="13"/>
        <v>'</v>
      </c>
      <c r="H90" s="422"/>
    </row>
    <row r="91" spans="1:8">
      <c r="A91" s="153"/>
      <c r="B91" s="152" t="str">
        <f>Language!A548</f>
        <v>Freezers, -80°C</v>
      </c>
      <c r="C91" s="22"/>
      <c r="F91" s="28"/>
      <c r="H91" s="259"/>
    </row>
    <row r="92" spans="1:8">
      <c r="A92" s="253" t="s">
        <v>5598</v>
      </c>
      <c r="B92" s="251" t="str">
        <f>Language!A549</f>
        <v>Are temperatures recorded each day of use?</v>
      </c>
      <c r="C92" s="246"/>
      <c r="F92" s="29">
        <f>C92</f>
        <v>0</v>
      </c>
      <c r="G92" s="18" t="str">
        <f t="shared" ref="G92:G93" si="14">IF(F92="Yes",1,IF(F92="No",0,"'"))</f>
        <v>'</v>
      </c>
      <c r="H92" s="422"/>
    </row>
    <row r="93" spans="1:8" ht="28.2" customHeight="1">
      <c r="A93" s="253" t="s">
        <v>5599</v>
      </c>
      <c r="B93" s="248" t="str">
        <f>Language!A550</f>
        <v>Is the acceptable temperature range (the minimum and maximum) clearly defined on the record sheet?</v>
      </c>
      <c r="C93" s="246"/>
      <c r="F93" s="29">
        <f>C93</f>
        <v>0</v>
      </c>
      <c r="G93" s="18" t="str">
        <f t="shared" si="14"/>
        <v>'</v>
      </c>
      <c r="H93" s="422"/>
    </row>
    <row r="94" spans="1:8">
      <c r="A94" s="153"/>
      <c r="B94" s="152" t="str">
        <f>Language!A551</f>
        <v>Refrigerators</v>
      </c>
      <c r="C94" s="22"/>
      <c r="F94" s="28"/>
      <c r="H94" s="259"/>
    </row>
    <row r="95" spans="1:8">
      <c r="A95" s="253" t="s">
        <v>5600</v>
      </c>
      <c r="B95" s="248" t="str">
        <f>Language!A552</f>
        <v>Are temperatures recorded each day of use?</v>
      </c>
      <c r="C95" s="246"/>
      <c r="F95" s="29">
        <f>C95</f>
        <v>0</v>
      </c>
      <c r="G95" s="18" t="str">
        <f t="shared" ref="G95:G99" si="15">IF(F95="Yes",1,IF(F95="No",0,"'"))</f>
        <v>'</v>
      </c>
      <c r="H95" s="422"/>
    </row>
    <row r="96" spans="1:8" ht="28.2" customHeight="1">
      <c r="A96" s="253" t="s">
        <v>5601</v>
      </c>
      <c r="B96" s="248" t="str">
        <f>Language!A553</f>
        <v>Is the acceptable temperature range (the minimum and maximum) clearly defined on the record sheet?</v>
      </c>
      <c r="C96" s="246"/>
      <c r="F96" s="29">
        <f>C96</f>
        <v>0</v>
      </c>
      <c r="G96" s="18" t="str">
        <f t="shared" si="15"/>
        <v>'</v>
      </c>
      <c r="H96" s="422"/>
    </row>
    <row r="97" spans="1:11">
      <c r="A97" s="153"/>
      <c r="B97" s="152" t="str">
        <f>Language!A554</f>
        <v>Incubators, ambient atmosphere</v>
      </c>
      <c r="C97" s="22"/>
      <c r="F97" s="28"/>
      <c r="H97" s="259"/>
    </row>
    <row r="98" spans="1:11">
      <c r="A98" s="253" t="s">
        <v>5602</v>
      </c>
      <c r="B98" s="251" t="str">
        <f>Language!A555</f>
        <v>Are temperatures recorded each day of use?</v>
      </c>
      <c r="C98" s="246"/>
      <c r="F98" s="29">
        <f>C98</f>
        <v>0</v>
      </c>
      <c r="G98" s="18" t="str">
        <f t="shared" si="15"/>
        <v>'</v>
      </c>
      <c r="H98" s="422"/>
    </row>
    <row r="99" spans="1:11" ht="28.2" customHeight="1">
      <c r="A99" s="253" t="s">
        <v>5603</v>
      </c>
      <c r="B99" s="248" t="str">
        <f>Language!A556</f>
        <v>Is the acceptable temperature range (the minimum and maximum) clearly defined on the record sheet?</v>
      </c>
      <c r="C99" s="246"/>
      <c r="F99" s="29">
        <f>C99</f>
        <v>0</v>
      </c>
      <c r="G99" s="18" t="str">
        <f t="shared" si="15"/>
        <v>'</v>
      </c>
      <c r="H99" s="422"/>
    </row>
    <row r="100" spans="1:11">
      <c r="A100" s="153"/>
      <c r="B100" s="152" t="str">
        <f>Language!A557</f>
        <v>Incubators, CO2</v>
      </c>
      <c r="C100" s="22"/>
      <c r="F100" s="28"/>
      <c r="H100" s="259"/>
    </row>
    <row r="101" spans="1:11">
      <c r="A101" s="253" t="s">
        <v>5604</v>
      </c>
      <c r="B101" s="251" t="str">
        <f>Language!A558</f>
        <v>Are temperatures recorded each day of use?</v>
      </c>
      <c r="C101" s="246"/>
      <c r="F101" s="29">
        <f>C101</f>
        <v>0</v>
      </c>
      <c r="G101" s="18" t="str">
        <f t="shared" ref="G101:G103" si="16">IF(F101="Yes",1,IF(F101="No",0,"'"))</f>
        <v>'</v>
      </c>
      <c r="H101" s="422"/>
    </row>
    <row r="102" spans="1:11" ht="28.2" customHeight="1">
      <c r="A102" s="253" t="s">
        <v>5605</v>
      </c>
      <c r="B102" s="248" t="str">
        <f>Language!A559</f>
        <v>Is the acceptable temperature range (the minimum and maximum) clearly defined on the record sheet?</v>
      </c>
      <c r="C102" s="246"/>
      <c r="F102" s="29">
        <f>C102</f>
        <v>0</v>
      </c>
      <c r="G102" s="18" t="str">
        <f t="shared" si="16"/>
        <v>'</v>
      </c>
      <c r="H102" s="422"/>
    </row>
    <row r="103" spans="1:11" ht="27.6">
      <c r="A103" s="253" t="s">
        <v>5606</v>
      </c>
      <c r="B103" s="251" t="str">
        <f>Language!A560</f>
        <v>Are CO2 incubators checked for adequate CO2 levels and documented daily (or each day of use if not used daily)?</v>
      </c>
      <c r="C103" s="246"/>
      <c r="F103" s="29">
        <f>C103</f>
        <v>0</v>
      </c>
      <c r="G103" s="18" t="str">
        <f t="shared" si="16"/>
        <v>'</v>
      </c>
      <c r="H103" s="416"/>
    </row>
    <row r="104" spans="1:11">
      <c r="A104" s="153"/>
      <c r="B104" s="152" t="str">
        <f>Language!A561</f>
        <v>Water baths</v>
      </c>
      <c r="C104" s="22"/>
      <c r="F104" s="28"/>
      <c r="H104" s="259"/>
    </row>
    <row r="105" spans="1:11">
      <c r="A105" s="253" t="s">
        <v>5607</v>
      </c>
      <c r="B105" s="248" t="str">
        <f>Language!A562</f>
        <v>Are temperatures recorded each day of use?</v>
      </c>
      <c r="C105" s="246"/>
      <c r="F105" s="29">
        <f>C105</f>
        <v>0</v>
      </c>
      <c r="G105" s="18" t="str">
        <f t="shared" ref="G105:G106" si="17">IF(F105="Yes",1,IF(F105="No",0,"'"))</f>
        <v>'</v>
      </c>
      <c r="H105" s="422"/>
    </row>
    <row r="106" spans="1:11" ht="28.2" customHeight="1">
      <c r="A106" s="253" t="s">
        <v>5608</v>
      </c>
      <c r="B106" s="248" t="str">
        <f>Language!A563</f>
        <v>Is the acceptable temperature range (the minimum and maximum) clearly defined on the record sheet?</v>
      </c>
      <c r="C106" s="246"/>
      <c r="F106" s="29">
        <f>C106</f>
        <v>0</v>
      </c>
      <c r="G106" s="18" t="str">
        <f t="shared" si="17"/>
        <v>'</v>
      </c>
      <c r="H106" s="422"/>
    </row>
    <row r="107" spans="1:11">
      <c r="A107" s="16"/>
      <c r="B107" s="552" t="str">
        <f>Language!A564</f>
        <v>Standard: Acceptable ranges should be defined for all temperature dependent equipment</v>
      </c>
      <c r="C107" s="28"/>
      <c r="F107" s="28"/>
      <c r="H107" s="259"/>
    </row>
    <row r="108" spans="1:11">
      <c r="A108" s="253" t="s">
        <v>5609</v>
      </c>
      <c r="B108" s="163" t="str">
        <f>Language!A565</f>
        <v>Is there documentation of corrective action taken in response to out of range temperatures?</v>
      </c>
      <c r="C108" s="246"/>
      <c r="F108" s="29">
        <f>C108</f>
        <v>0</v>
      </c>
      <c r="G108" s="18" t="str">
        <f>IF(F108=1,1,IF(F108=0,"'",0))</f>
        <v>'</v>
      </c>
      <c r="H108" s="422"/>
    </row>
    <row r="109" spans="1:11">
      <c r="A109" s="16"/>
      <c r="B109" s="439" t="str">
        <f>Language!A566</f>
        <v>1: Yes - 2: No action is documented - 3: Temperatures are not recorded </v>
      </c>
      <c r="C109" s="22"/>
      <c r="H109" s="259"/>
    </row>
    <row r="110" spans="1:11" s="536" customFormat="1" ht="24" customHeight="1" thickBot="1">
      <c r="A110" s="534"/>
      <c r="B110" s="623" t="str">
        <f>Language!A567</f>
        <v>Standard: Procedures should be available with instruction as to what action(s) should be taken when temperatures are out of range</v>
      </c>
      <c r="C110" s="627"/>
      <c r="D110" s="535"/>
      <c r="F110" s="537"/>
      <c r="H110" s="538"/>
      <c r="J110" s="535"/>
      <c r="K110" s="535"/>
    </row>
    <row r="111" spans="1:11" ht="16.2" thickBot="1">
      <c r="A111" s="159"/>
      <c r="B111" s="86" t="str">
        <f>Language!A568</f>
        <v>AUTOCLAVE MANAGEMENT</v>
      </c>
      <c r="C111" s="72" t="str">
        <f>IF(COUNTBLANK(C113:C118)=6,"???",IF(COUNT(G113:G118)=0,"NA",AVERAGE(G113:G118)))</f>
        <v>???</v>
      </c>
      <c r="F111" s="28"/>
      <c r="H111" s="417"/>
    </row>
    <row r="112" spans="1:11" ht="27.6">
      <c r="A112" s="16"/>
      <c r="B112" s="20" t="str">
        <f>Language!A569</f>
        <v>Do records demonstrate that the following mechanical indicators are recorded each time the autoclave is run? (Review logs to confirm)</v>
      </c>
      <c r="C112" s="22"/>
      <c r="F112" s="28"/>
    </row>
    <row r="113" spans="1:10">
      <c r="A113" s="153" t="s">
        <v>5610</v>
      </c>
      <c r="B113" s="37" t="str">
        <f>Language!A570</f>
        <v>Temperature</v>
      </c>
      <c r="C113" s="27"/>
      <c r="F113" s="29">
        <f t="shared" ref="F113:F118" si="18">C113</f>
        <v>0</v>
      </c>
      <c r="G113" s="18" t="str">
        <f t="shared" ref="G113:G116" si="19">IF(F113="Yes",1,IF(F113="No",0,"'"))</f>
        <v>'</v>
      </c>
      <c r="H113" s="422"/>
    </row>
    <row r="114" spans="1:10">
      <c r="A114" s="153" t="s">
        <v>5611</v>
      </c>
      <c r="B114" s="37" t="str">
        <f>Language!A571</f>
        <v>Pressure</v>
      </c>
      <c r="C114" s="27"/>
      <c r="F114" s="29">
        <f t="shared" si="18"/>
        <v>0</v>
      </c>
      <c r="G114" s="18" t="str">
        <f t="shared" si="19"/>
        <v>'</v>
      </c>
      <c r="H114" s="422"/>
    </row>
    <row r="115" spans="1:10">
      <c r="A115" s="153" t="s">
        <v>5612</v>
      </c>
      <c r="B115" s="37" t="str">
        <f>Language!A572</f>
        <v>Cycle Time</v>
      </c>
      <c r="C115" s="27"/>
      <c r="F115" s="29">
        <f t="shared" si="18"/>
        <v>0</v>
      </c>
      <c r="G115" s="18" t="str">
        <f t="shared" si="19"/>
        <v>'</v>
      </c>
      <c r="H115" s="422"/>
    </row>
    <row r="116" spans="1:10" ht="40.950000000000003" customHeight="1">
      <c r="A116" s="153" t="s">
        <v>5613</v>
      </c>
      <c r="B116" s="20" t="str">
        <f>Language!A573</f>
        <v>Do records demonstrate that chemical indicators (e.g., heat sensitive tape) are used each time the autoclave is run? (Review logs to confirm)</v>
      </c>
      <c r="C116" s="27"/>
      <c r="F116" s="29">
        <f t="shared" si="18"/>
        <v>0</v>
      </c>
      <c r="G116" s="18" t="str">
        <f t="shared" si="19"/>
        <v>'</v>
      </c>
      <c r="H116" s="422"/>
    </row>
    <row r="117" spans="1:10" ht="55.35" customHeight="1">
      <c r="A117" s="153" t="s">
        <v>5614</v>
      </c>
      <c r="B117" s="20" t="str">
        <f>Language!A574</f>
        <v>Do records demonstrate that biological indicators (e.g., Attest or other spore system) are used to confirm the autoclave is achieving sterilization? (Review logs to confirm). 1- Weekly, 2- Monthly, 3- Less than monthly, 4- No records</v>
      </c>
      <c r="C117" s="27"/>
      <c r="F117" s="29">
        <f t="shared" si="18"/>
        <v>0</v>
      </c>
      <c r="G117" s="18" t="str">
        <f>IF(F117=1,1,IF(F117=2,0.5,IF(F117=0,"'",0)))</f>
        <v>'</v>
      </c>
      <c r="H117" s="422"/>
    </row>
    <row r="118" spans="1:10" ht="16.2" thickBot="1">
      <c r="A118" s="153" t="s">
        <v>5615</v>
      </c>
      <c r="B118" s="127" t="str">
        <f>Language!A575</f>
        <v>Is the same autoclave used for both media preparation and waste sterilization?</v>
      </c>
      <c r="C118" s="27"/>
      <c r="F118" s="29">
        <f t="shared" si="18"/>
        <v>0</v>
      </c>
      <c r="G118" s="18" t="str">
        <f>IF(F118="Yes",0,IF(F118="No",1,"'"))</f>
        <v>'</v>
      </c>
      <c r="H118" s="422"/>
    </row>
    <row r="119" spans="1:10" ht="16.2" thickBot="1">
      <c r="A119" s="159"/>
      <c r="B119" s="14" t="str">
        <f>Language!A576</f>
        <v>INSTRUMENT AVAILABILITY AND MAINTENANCE</v>
      </c>
      <c r="C119" s="47" t="str">
        <f>IF(COUNTBLANK(C121:C157)=37,"???",IF(COUNT(G121:G157)=0,"NA",AVERAGE(G121:G157)))</f>
        <v>???</v>
      </c>
      <c r="H119" s="417"/>
    </row>
    <row r="120" spans="1:10">
      <c r="A120" s="16"/>
      <c r="B120" s="60" t="str">
        <f>Language!A577</f>
        <v>Enter quantity in column D (#)</v>
      </c>
      <c r="D120" s="444" t="s">
        <v>5542</v>
      </c>
    </row>
    <row r="121" spans="1:10" ht="28.2" customHeight="1">
      <c r="A121" s="153" t="s">
        <v>5616</v>
      </c>
      <c r="B121" s="20" t="str">
        <f>Language!A578</f>
        <v>Does the lab have an automated blood culture instrument? (indicate manufacturer and model in comments)</v>
      </c>
      <c r="C121" s="423"/>
      <c r="D121" s="426"/>
      <c r="F121" s="23">
        <f t="shared" ref="F121:F157" si="20">C121</f>
        <v>0</v>
      </c>
      <c r="G121" s="18" t="str">
        <f>IF(F121="Yes",1,"'")</f>
        <v>'</v>
      </c>
      <c r="H121" s="416" t="str">
        <f>Language!A635</f>
        <v>BRAND:</v>
      </c>
      <c r="J121" s="489"/>
    </row>
    <row r="122" spans="1:10">
      <c r="A122" s="153" t="s">
        <v>5617</v>
      </c>
      <c r="B122" s="37" t="str">
        <f>Language!A579</f>
        <v>Is the instrument functional today?</v>
      </c>
      <c r="C122" s="423"/>
      <c r="D122" s="156"/>
      <c r="F122" s="23">
        <f t="shared" si="20"/>
        <v>0</v>
      </c>
      <c r="G122" s="18" t="str">
        <f t="shared" ref="G122:G127" si="21">IF(F122="Yes",1,IF(F122="No",0,"'"))</f>
        <v>'</v>
      </c>
      <c r="H122" s="416"/>
      <c r="J122" s="489"/>
    </row>
    <row r="123" spans="1:10">
      <c r="A123" s="153" t="s">
        <v>5618</v>
      </c>
      <c r="B123" s="37" t="str">
        <f>Language!A580</f>
        <v>Is a user manual present?</v>
      </c>
      <c r="C123" s="423"/>
      <c r="D123" s="156"/>
      <c r="F123" s="23">
        <f t="shared" si="20"/>
        <v>0</v>
      </c>
      <c r="G123" s="18" t="str">
        <f t="shared" si="21"/>
        <v>'</v>
      </c>
      <c r="H123" s="416"/>
      <c r="J123" s="22"/>
    </row>
    <row r="124" spans="1:10">
      <c r="A124" s="153" t="s">
        <v>5619</v>
      </c>
      <c r="B124" s="37" t="str">
        <f>Language!A581</f>
        <v>Are routine (user) maintenance records present?</v>
      </c>
      <c r="C124" s="423"/>
      <c r="D124" s="156"/>
      <c r="F124" s="23">
        <f t="shared" si="20"/>
        <v>0</v>
      </c>
      <c r="G124" s="18" t="str">
        <f t="shared" si="21"/>
        <v>'</v>
      </c>
      <c r="H124" s="416"/>
      <c r="J124" s="22"/>
    </row>
    <row r="125" spans="1:10">
      <c r="A125" s="153" t="s">
        <v>5620</v>
      </c>
      <c r="B125" s="37" t="str">
        <f>Language!A582</f>
        <v>Are preventive (vendor) maintenance records present?</v>
      </c>
      <c r="C125" s="423"/>
      <c r="D125" s="156"/>
      <c r="F125" s="23">
        <f t="shared" si="20"/>
        <v>0</v>
      </c>
      <c r="G125" s="18" t="str">
        <f t="shared" si="21"/>
        <v>'</v>
      </c>
      <c r="H125" s="416"/>
      <c r="J125" s="22"/>
    </row>
    <row r="126" spans="1:10">
      <c r="A126" s="153" t="s">
        <v>5621</v>
      </c>
      <c r="B126" s="37" t="str">
        <f>Language!A583</f>
        <v>Is a service contract in place?</v>
      </c>
      <c r="C126" s="423"/>
      <c r="D126" s="156"/>
      <c r="F126" s="23">
        <f t="shared" si="20"/>
        <v>0</v>
      </c>
      <c r="G126" s="18" t="str">
        <f t="shared" si="21"/>
        <v>'</v>
      </c>
      <c r="H126" s="416"/>
      <c r="J126" s="489"/>
    </row>
    <row r="127" spans="1:10">
      <c r="A127" s="153" t="s">
        <v>5622</v>
      </c>
      <c r="B127" s="37" t="str">
        <f>Language!A584</f>
        <v>Is the software up to date?</v>
      </c>
      <c r="C127" s="423"/>
      <c r="D127" s="156"/>
      <c r="F127" s="23">
        <f t="shared" si="20"/>
        <v>0</v>
      </c>
      <c r="G127" s="18" t="str">
        <f t="shared" si="21"/>
        <v>'</v>
      </c>
      <c r="H127" s="416"/>
      <c r="J127" s="489"/>
    </row>
    <row r="128" spans="1:10" ht="28.2" customHeight="1">
      <c r="A128" s="153" t="s">
        <v>5623</v>
      </c>
      <c r="B128" s="20" t="str">
        <f>Language!A585</f>
        <v>Does the lab have an automated instrument for bacterial ID and AST? (e.g., Vitek, Microscan, Phoenix)</v>
      </c>
      <c r="C128" s="423"/>
      <c r="D128" s="426"/>
      <c r="F128" s="23">
        <f t="shared" si="20"/>
        <v>0</v>
      </c>
      <c r="G128" s="18" t="str">
        <f>IF(F128="Yes",1,"'")</f>
        <v>'</v>
      </c>
      <c r="H128" s="416" t="str">
        <f>H121</f>
        <v>BRAND:</v>
      </c>
      <c r="J128" s="489"/>
    </row>
    <row r="129" spans="1:10">
      <c r="A129" s="153" t="s">
        <v>5624</v>
      </c>
      <c r="B129" s="37" t="str">
        <f>Language!A586</f>
        <v>Is the instrument functional today?</v>
      </c>
      <c r="C129" s="423"/>
      <c r="D129" s="156"/>
      <c r="F129" s="23">
        <f t="shared" si="20"/>
        <v>0</v>
      </c>
      <c r="G129" s="18" t="str">
        <f t="shared" ref="G129:G134" si="22">IF(F129="Yes",1,IF(F129="No",0,"'"))</f>
        <v>'</v>
      </c>
      <c r="H129" s="416"/>
      <c r="J129" s="489"/>
    </row>
    <row r="130" spans="1:10">
      <c r="A130" s="153" t="s">
        <v>5625</v>
      </c>
      <c r="B130" s="37" t="str">
        <f>Language!A587</f>
        <v>Is a user manual present?</v>
      </c>
      <c r="C130" s="423"/>
      <c r="D130" s="156"/>
      <c r="F130" s="23">
        <f t="shared" si="20"/>
        <v>0</v>
      </c>
      <c r="G130" s="18" t="str">
        <f t="shared" si="22"/>
        <v>'</v>
      </c>
      <c r="H130" s="416"/>
      <c r="J130" s="489"/>
    </row>
    <row r="131" spans="1:10">
      <c r="A131" s="153" t="s">
        <v>5626</v>
      </c>
      <c r="B131" s="37" t="str">
        <f>Language!A588</f>
        <v>Are routine (user) maintenance records present?</v>
      </c>
      <c r="C131" s="423"/>
      <c r="D131" s="156"/>
      <c r="F131" s="23">
        <f t="shared" si="20"/>
        <v>0</v>
      </c>
      <c r="G131" s="18" t="str">
        <f t="shared" si="22"/>
        <v>'</v>
      </c>
      <c r="H131" s="416"/>
      <c r="J131" s="489"/>
    </row>
    <row r="132" spans="1:10">
      <c r="A132" s="153" t="s">
        <v>5627</v>
      </c>
      <c r="B132" s="37" t="str">
        <f>Language!A589</f>
        <v>Are preventive (vendor) maintenance records present?</v>
      </c>
      <c r="C132" s="423"/>
      <c r="D132" s="156"/>
      <c r="F132" s="23">
        <f t="shared" si="20"/>
        <v>0</v>
      </c>
      <c r="G132" s="18" t="str">
        <f t="shared" si="22"/>
        <v>'</v>
      </c>
      <c r="H132" s="416"/>
      <c r="J132" s="489"/>
    </row>
    <row r="133" spans="1:10">
      <c r="A133" s="153" t="s">
        <v>5628</v>
      </c>
      <c r="B133" s="37" t="str">
        <f>Language!A590</f>
        <v>Is a service contract in place?</v>
      </c>
      <c r="C133" s="423"/>
      <c r="D133" s="156"/>
      <c r="F133" s="23">
        <f t="shared" si="20"/>
        <v>0</v>
      </c>
      <c r="G133" s="18" t="str">
        <f t="shared" si="22"/>
        <v>'</v>
      </c>
      <c r="H133" s="416"/>
      <c r="J133" s="489"/>
    </row>
    <row r="134" spans="1:10">
      <c r="A134" s="153" t="s">
        <v>5629</v>
      </c>
      <c r="B134" s="37" t="str">
        <f>Language!A591</f>
        <v>Is the software up to date?</v>
      </c>
      <c r="C134" s="423"/>
      <c r="D134" s="156"/>
      <c r="F134" s="23">
        <f t="shared" si="20"/>
        <v>0</v>
      </c>
      <c r="G134" s="18" t="str">
        <f t="shared" si="22"/>
        <v>'</v>
      </c>
      <c r="H134" s="416"/>
      <c r="J134" s="489"/>
    </row>
    <row r="135" spans="1:10" ht="28.2" customHeight="1">
      <c r="A135" s="153" t="s">
        <v>5630</v>
      </c>
      <c r="B135" s="20" t="str">
        <f>Language!A592</f>
        <v>Does the lab have an automated instrument for reading disk diffusion? (e.g., SIRSCAN, BIOMIC V3, ADAGIO, etc.)</v>
      </c>
      <c r="C135" s="423"/>
      <c r="D135" s="426"/>
      <c r="F135" s="23">
        <f t="shared" si="20"/>
        <v>0</v>
      </c>
      <c r="G135" s="18" t="str">
        <f>IF(F135="Yes",1,"'")</f>
        <v>'</v>
      </c>
      <c r="H135" s="416" t="str">
        <f>Language!A636</f>
        <v>BRAND/ MODEL:</v>
      </c>
      <c r="J135" s="489"/>
    </row>
    <row r="136" spans="1:10">
      <c r="A136" s="153" t="s">
        <v>5631</v>
      </c>
      <c r="B136" s="37" t="str">
        <f>Language!A593</f>
        <v>Is the instrument functional today?</v>
      </c>
      <c r="C136" s="423"/>
      <c r="D136" s="156"/>
      <c r="F136" s="23">
        <f t="shared" si="20"/>
        <v>0</v>
      </c>
      <c r="G136" s="18" t="str">
        <f t="shared" ref="G136:G141" si="23">IF(F136="Yes",1,IF(F136="No",0,"'"))</f>
        <v>'</v>
      </c>
      <c r="H136" s="416"/>
      <c r="J136" s="489"/>
    </row>
    <row r="137" spans="1:10">
      <c r="A137" s="153" t="s">
        <v>5632</v>
      </c>
      <c r="B137" s="37" t="str">
        <f>Language!A594</f>
        <v>Is a user manual present?</v>
      </c>
      <c r="C137" s="423"/>
      <c r="D137" s="156"/>
      <c r="F137" s="23">
        <f t="shared" si="20"/>
        <v>0</v>
      </c>
      <c r="G137" s="18" t="str">
        <f t="shared" si="23"/>
        <v>'</v>
      </c>
      <c r="H137" s="416"/>
      <c r="J137" s="489"/>
    </row>
    <row r="138" spans="1:10">
      <c r="A138" s="153" t="s">
        <v>5633</v>
      </c>
      <c r="B138" s="37" t="str">
        <f>Language!A595</f>
        <v>Are routine (user) maintenance records present?</v>
      </c>
      <c r="C138" s="423"/>
      <c r="D138" s="156"/>
      <c r="F138" s="23">
        <f t="shared" si="20"/>
        <v>0</v>
      </c>
      <c r="G138" s="18" t="str">
        <f t="shared" si="23"/>
        <v>'</v>
      </c>
      <c r="H138" s="416"/>
      <c r="J138" s="489"/>
    </row>
    <row r="139" spans="1:10">
      <c r="A139" s="153" t="s">
        <v>5634</v>
      </c>
      <c r="B139" s="37" t="str">
        <f>Language!A596</f>
        <v>Are preventive (vendor) maintenance records present?</v>
      </c>
      <c r="C139" s="423"/>
      <c r="D139" s="156"/>
      <c r="F139" s="23">
        <f t="shared" si="20"/>
        <v>0</v>
      </c>
      <c r="G139" s="18" t="str">
        <f t="shared" si="23"/>
        <v>'</v>
      </c>
      <c r="H139" s="416"/>
      <c r="J139" s="489"/>
    </row>
    <row r="140" spans="1:10">
      <c r="A140" s="153" t="s">
        <v>5635</v>
      </c>
      <c r="B140" s="37" t="str">
        <f>Language!A597</f>
        <v>Is a service contract in place?</v>
      </c>
      <c r="C140" s="423"/>
      <c r="D140" s="156"/>
      <c r="F140" s="23">
        <f t="shared" si="20"/>
        <v>0</v>
      </c>
      <c r="G140" s="18" t="str">
        <f t="shared" si="23"/>
        <v>'</v>
      </c>
      <c r="H140" s="416"/>
      <c r="J140" s="489"/>
    </row>
    <row r="141" spans="1:10">
      <c r="A141" s="153" t="s">
        <v>5636</v>
      </c>
      <c r="B141" s="37" t="str">
        <f>Language!A598</f>
        <v>Is the software up to date?</v>
      </c>
      <c r="C141" s="423"/>
      <c r="D141" s="156"/>
      <c r="F141" s="23">
        <f t="shared" si="20"/>
        <v>0</v>
      </c>
      <c r="G141" s="18" t="str">
        <f t="shared" si="23"/>
        <v>'</v>
      </c>
      <c r="H141" s="416"/>
      <c r="J141" s="489"/>
    </row>
    <row r="142" spans="1:10" ht="28.2" customHeight="1">
      <c r="A142" s="153" t="s">
        <v>5637</v>
      </c>
      <c r="B142" s="20" t="str">
        <f>Language!A599</f>
        <v>Does the lab have a MALDI instrument for organism ID? (e.g., Bruker, Biomerieux)</v>
      </c>
      <c r="C142" s="423"/>
      <c r="D142" s="426"/>
      <c r="F142" s="23">
        <f t="shared" si="20"/>
        <v>0</v>
      </c>
      <c r="G142" s="18" t="str">
        <f>IF(F142="Yes",1,"'")</f>
        <v>'</v>
      </c>
      <c r="H142" s="416" t="str">
        <f>H135</f>
        <v>BRAND/ MODEL:</v>
      </c>
      <c r="J142" s="489"/>
    </row>
    <row r="143" spans="1:10">
      <c r="A143" s="153" t="s">
        <v>5638</v>
      </c>
      <c r="B143" s="37" t="str">
        <f>Language!A600</f>
        <v>Is the instrument functional today?</v>
      </c>
      <c r="C143" s="423"/>
      <c r="D143" s="156"/>
      <c r="F143" s="23">
        <f t="shared" si="20"/>
        <v>0</v>
      </c>
      <c r="G143" s="18" t="str">
        <f t="shared" ref="G143:G148" si="24">IF(F143="Yes",1,IF(F143="No",0,"'"))</f>
        <v>'</v>
      </c>
      <c r="H143" s="416"/>
      <c r="J143" s="489"/>
    </row>
    <row r="144" spans="1:10">
      <c r="A144" s="153" t="s">
        <v>5639</v>
      </c>
      <c r="B144" s="37" t="str">
        <f>Language!A601</f>
        <v>Is a user manual present?</v>
      </c>
      <c r="C144" s="423"/>
      <c r="D144" s="156"/>
      <c r="F144" s="23">
        <f t="shared" si="20"/>
        <v>0</v>
      </c>
      <c r="G144" s="18" t="str">
        <f t="shared" si="24"/>
        <v>'</v>
      </c>
      <c r="H144" s="416"/>
      <c r="J144" s="489"/>
    </row>
    <row r="145" spans="1:10">
      <c r="A145" s="153" t="s">
        <v>5640</v>
      </c>
      <c r="B145" s="37" t="str">
        <f>Language!A602</f>
        <v>Are routine (user) maintenance records present?</v>
      </c>
      <c r="C145" s="423"/>
      <c r="D145" s="156"/>
      <c r="F145" s="23">
        <f t="shared" si="20"/>
        <v>0</v>
      </c>
      <c r="G145" s="18" t="str">
        <f t="shared" si="24"/>
        <v>'</v>
      </c>
      <c r="H145" s="416"/>
      <c r="J145" s="489"/>
    </row>
    <row r="146" spans="1:10">
      <c r="A146" s="153" t="s">
        <v>5641</v>
      </c>
      <c r="B146" s="37" t="str">
        <f>Language!A603</f>
        <v>Are preventive (vendor) maintenance records present?</v>
      </c>
      <c r="C146" s="423"/>
      <c r="D146" s="156"/>
      <c r="F146" s="23">
        <f t="shared" si="20"/>
        <v>0</v>
      </c>
      <c r="G146" s="18" t="str">
        <f t="shared" si="24"/>
        <v>'</v>
      </c>
      <c r="H146" s="416"/>
      <c r="J146" s="489"/>
    </row>
    <row r="147" spans="1:10">
      <c r="A147" s="153" t="s">
        <v>5642</v>
      </c>
      <c r="B147" s="37" t="str">
        <f>Language!A604</f>
        <v>Is a service contract in place?</v>
      </c>
      <c r="C147" s="423"/>
      <c r="D147" s="156"/>
      <c r="F147" s="23">
        <f t="shared" si="20"/>
        <v>0</v>
      </c>
      <c r="G147" s="18" t="str">
        <f t="shared" si="24"/>
        <v>'</v>
      </c>
      <c r="H147" s="416"/>
      <c r="J147" s="489"/>
    </row>
    <row r="148" spans="1:10">
      <c r="A148" s="153" t="s">
        <v>5643</v>
      </c>
      <c r="B148" s="37" t="str">
        <f>Language!A605</f>
        <v>Is the software up to date?</v>
      </c>
      <c r="C148" s="423"/>
      <c r="D148" s="156"/>
      <c r="F148" s="23">
        <f t="shared" si="20"/>
        <v>0</v>
      </c>
      <c r="G148" s="18" t="str">
        <f t="shared" si="24"/>
        <v>'</v>
      </c>
      <c r="H148" s="416"/>
      <c r="J148" s="489"/>
    </row>
    <row r="149" spans="1:10" ht="28.2" customHeight="1">
      <c r="A149" s="153" t="s">
        <v>5644</v>
      </c>
      <c r="B149" s="20" t="str">
        <f>Language!A606</f>
        <v>Does the lab have a PCR instrument used for detecting antibiotic resistance genes? (e.g., GeneXpert)</v>
      </c>
      <c r="C149" s="423"/>
      <c r="D149" s="426"/>
      <c r="F149" s="23">
        <f t="shared" si="20"/>
        <v>0</v>
      </c>
      <c r="G149" s="18" t="str">
        <f>IF(F149="Yes",1,"'")</f>
        <v>'</v>
      </c>
      <c r="H149" s="416" t="str">
        <f>H135</f>
        <v>BRAND/ MODEL:</v>
      </c>
      <c r="J149" s="489"/>
    </row>
    <row r="150" spans="1:10">
      <c r="A150" s="153" t="s">
        <v>5645</v>
      </c>
      <c r="B150" s="37" t="str">
        <f>Language!A607</f>
        <v>Is the instrument functional today?</v>
      </c>
      <c r="C150" s="423"/>
      <c r="D150" s="156"/>
      <c r="F150" s="23">
        <f t="shared" si="20"/>
        <v>0</v>
      </c>
      <c r="G150" s="18" t="str">
        <f t="shared" ref="G150:G155" si="25">IF(F150="Yes",1,IF(F150="No",0,"'"))</f>
        <v>'</v>
      </c>
      <c r="H150" s="416"/>
      <c r="J150" s="489"/>
    </row>
    <row r="151" spans="1:10">
      <c r="A151" s="153" t="s">
        <v>5646</v>
      </c>
      <c r="B151" s="37" t="str">
        <f>Language!A608</f>
        <v>Is a user manual present?</v>
      </c>
      <c r="C151" s="423"/>
      <c r="D151" s="156"/>
      <c r="F151" s="23">
        <f t="shared" si="20"/>
        <v>0</v>
      </c>
      <c r="G151" s="18" t="str">
        <f t="shared" si="25"/>
        <v>'</v>
      </c>
      <c r="H151" s="416"/>
      <c r="J151" s="489"/>
    </row>
    <row r="152" spans="1:10">
      <c r="A152" s="153" t="s">
        <v>5647</v>
      </c>
      <c r="B152" s="37" t="str">
        <f>Language!A609</f>
        <v>Are routine (user) maintenance records present?</v>
      </c>
      <c r="C152" s="423"/>
      <c r="D152" s="156"/>
      <c r="F152" s="23">
        <f t="shared" si="20"/>
        <v>0</v>
      </c>
      <c r="G152" s="18" t="str">
        <f t="shared" si="25"/>
        <v>'</v>
      </c>
      <c r="H152" s="416"/>
      <c r="J152" s="489"/>
    </row>
    <row r="153" spans="1:10">
      <c r="A153" s="153" t="s">
        <v>5648</v>
      </c>
      <c r="B153" s="37" t="str">
        <f>Language!A610</f>
        <v>Are preventive (vendor) maintenance records present?</v>
      </c>
      <c r="C153" s="423"/>
      <c r="D153" s="156"/>
      <c r="F153" s="23">
        <f t="shared" si="20"/>
        <v>0</v>
      </c>
      <c r="G153" s="18" t="str">
        <f t="shared" si="25"/>
        <v>'</v>
      </c>
      <c r="H153" s="416"/>
      <c r="J153" s="489"/>
    </row>
    <row r="154" spans="1:10">
      <c r="A154" s="153" t="s">
        <v>5649</v>
      </c>
      <c r="B154" s="37" t="str">
        <f>Language!A611</f>
        <v>Is a service contract in place?</v>
      </c>
      <c r="C154" s="423"/>
      <c r="D154" s="156"/>
      <c r="F154" s="23">
        <f t="shared" si="20"/>
        <v>0</v>
      </c>
      <c r="G154" s="18" t="str">
        <f t="shared" si="25"/>
        <v>'</v>
      </c>
      <c r="H154" s="416"/>
      <c r="J154" s="489"/>
    </row>
    <row r="155" spans="1:10">
      <c r="A155" s="153" t="s">
        <v>5650</v>
      </c>
      <c r="B155" s="37" t="str">
        <f>Language!A612</f>
        <v>Is the software up to date?</v>
      </c>
      <c r="C155" s="423"/>
      <c r="D155" s="156"/>
      <c r="F155" s="23">
        <f t="shared" si="20"/>
        <v>0</v>
      </c>
      <c r="G155" s="18" t="str">
        <f t="shared" si="25"/>
        <v>'</v>
      </c>
      <c r="H155" s="416"/>
      <c r="J155" s="489"/>
    </row>
    <row r="156" spans="1:10" ht="27.6">
      <c r="A156" s="153" t="s">
        <v>5651</v>
      </c>
      <c r="B156" s="20" t="str">
        <f>Language!A613</f>
        <v>In the last 6 months, has prolonged instrument failure disrupted the ability to provide routine bacteriology services?</v>
      </c>
      <c r="C156" s="423"/>
      <c r="D156" s="156"/>
      <c r="F156" s="23">
        <f t="shared" si="20"/>
        <v>0</v>
      </c>
      <c r="G156" s="18" t="str">
        <f>IF(F156="Yes",0,IF(F156="No",1,"'"))</f>
        <v>'</v>
      </c>
      <c r="H156" s="416"/>
      <c r="I156" s="18" t="str">
        <f>IF(C156="Yes","System Flag","'")</f>
        <v>'</v>
      </c>
    </row>
    <row r="157" spans="1:10" ht="28.2" thickBot="1">
      <c r="A157" s="153" t="s">
        <v>5652</v>
      </c>
      <c r="B157" s="20" t="str">
        <f>Language!A614</f>
        <v>In the event of prolonged instrument failure, is a contingency plan in place to provide uninterrupted bacteriology services?</v>
      </c>
      <c r="C157" s="423"/>
      <c r="D157" s="156"/>
      <c r="F157" s="23">
        <f t="shared" si="20"/>
        <v>0</v>
      </c>
      <c r="G157" s="18" t="str">
        <f t="shared" ref="G157" si="26">IF(F157="Yes",1,IF(F157="No",0,"'"))</f>
        <v>'</v>
      </c>
      <c r="H157" s="416"/>
    </row>
    <row r="158" spans="1:10" ht="16.2" thickBot="1">
      <c r="A158" s="159"/>
      <c r="B158" s="14" t="str">
        <f>Language!A615</f>
        <v>INVENTORY &amp; STOCK OUTS</v>
      </c>
      <c r="C158" s="47" t="str">
        <f>IF(COUNTBLANK(C159:C173)=15,"???",IF(COUNT(G159:G173)=0,"NA",AVERAGE(G159:G173)))</f>
        <v>???</v>
      </c>
      <c r="H158" s="417"/>
    </row>
    <row r="159" spans="1:10">
      <c r="A159" s="153" t="s">
        <v>5653</v>
      </c>
      <c r="B159" s="8" t="str">
        <f>Language!A616</f>
        <v>Does the lab have an inventory control system in place?</v>
      </c>
      <c r="C159" s="423"/>
      <c r="F159" s="23">
        <f t="shared" ref="F159:F169" si="27">C159</f>
        <v>0</v>
      </c>
      <c r="G159" s="18" t="str">
        <f t="shared" ref="G159" si="28">IF(F159="Yes",1,IF(F159="No",0,"'"))</f>
        <v>'</v>
      </c>
      <c r="H159" s="416"/>
    </row>
    <row r="160" spans="1:10" ht="27.6">
      <c r="A160" s="153" t="s">
        <v>5654</v>
      </c>
      <c r="B160" s="71" t="str">
        <f>Language!A617</f>
        <v>In the last 6 months, has the lab/hospital experienced stock outs of specimen collection materials? (e.g., blood culture bottles, sterile cups, sterile swabs)</v>
      </c>
      <c r="C160" s="423"/>
      <c r="F160" s="23">
        <f t="shared" si="27"/>
        <v>0</v>
      </c>
      <c r="G160" s="18" t="str">
        <f>IF(F160="Yes",0,IF(F160="No",1,"'"))</f>
        <v>'</v>
      </c>
      <c r="H160" s="416"/>
      <c r="I160" s="486"/>
    </row>
    <row r="161" spans="1:9" ht="41.7" customHeight="1">
      <c r="A161" s="153" t="s">
        <v>5655</v>
      </c>
      <c r="B161" s="71" t="str">
        <f>Language!A618</f>
        <v>In the last 6 months, has the lab experienced stock outs of consumables? (e.g.,, petri dishes, tubes, sterile saline, pipettes, pipette tips, plastic inoculating loops, gloves, paper, gauze, disinfectant)</v>
      </c>
      <c r="C161" s="423"/>
      <c r="F161" s="23">
        <f t="shared" si="27"/>
        <v>0</v>
      </c>
      <c r="G161" s="18" t="str">
        <f t="shared" ref="G161:G168" si="29">IF(F161="Yes",0,IF(F161="No",1,"'"))</f>
        <v>'</v>
      </c>
      <c r="H161" s="416"/>
      <c r="I161" s="486"/>
    </row>
    <row r="162" spans="1:9" ht="27.6">
      <c r="A162" s="153" t="s">
        <v>5656</v>
      </c>
      <c r="B162" s="71" t="str">
        <f>Language!A619</f>
        <v>In the last 6 months, has the lab experienced stock outs of media? (e.g., powdered media, sheep blood, other additives, tubed media)</v>
      </c>
      <c r="C162" s="423"/>
      <c r="F162" s="23">
        <f t="shared" si="27"/>
        <v>0</v>
      </c>
      <c r="G162" s="18" t="str">
        <f t="shared" si="29"/>
        <v>'</v>
      </c>
      <c r="H162" s="424"/>
      <c r="I162" s="486"/>
    </row>
    <row r="163" spans="1:9" ht="27.6">
      <c r="A163" s="153" t="s">
        <v>5657</v>
      </c>
      <c r="B163" s="71" t="str">
        <f>Language!A620</f>
        <v>In the last 6 months, has the lab experienced stock outs of conventional reagents? (e.g., oxidase reagent, indole reagent, catalase reagent, coagulase reagent, etc.)</v>
      </c>
      <c r="C163" s="423"/>
      <c r="F163" s="23">
        <f t="shared" si="27"/>
        <v>0</v>
      </c>
      <c r="G163" s="18" t="str">
        <f t="shared" si="29"/>
        <v>'</v>
      </c>
      <c r="H163" s="424"/>
      <c r="I163" s="486"/>
    </row>
    <row r="164" spans="1:9" ht="28.2" customHeight="1">
      <c r="A164" s="153" t="s">
        <v>5658</v>
      </c>
      <c r="B164" s="71" t="str">
        <f>Language!A621</f>
        <v>In the last 6 months, has the lab experienced stock outs of antibiotic disks or strips?</v>
      </c>
      <c r="C164" s="423"/>
      <c r="F164" s="23">
        <f t="shared" si="27"/>
        <v>0</v>
      </c>
      <c r="G164" s="18" t="str">
        <f t="shared" si="29"/>
        <v>'</v>
      </c>
      <c r="H164" s="424"/>
      <c r="I164" s="486"/>
    </row>
    <row r="165" spans="1:9" ht="28.2" customHeight="1">
      <c r="A165" s="153" t="s">
        <v>5659</v>
      </c>
      <c r="B165" s="71" t="str">
        <f>Language!A622</f>
        <v>In the last 6 months, has the lab experienced stock outs of ID or AST cards/trays for the automated instruments?</v>
      </c>
      <c r="C165" s="423"/>
      <c r="F165" s="23">
        <f t="shared" si="27"/>
        <v>0</v>
      </c>
      <c r="G165" s="18" t="str">
        <f t="shared" si="29"/>
        <v>'</v>
      </c>
      <c r="H165" s="424"/>
      <c r="I165" s="486"/>
    </row>
    <row r="166" spans="1:9" ht="28.2" customHeight="1">
      <c r="A166" s="153" t="s">
        <v>5660</v>
      </c>
      <c r="B166" s="71" t="str">
        <f>Language!A623</f>
        <v xml:space="preserve">In the last 6 months, has the lab experienced stock outs of control materials or reference strains? </v>
      </c>
      <c r="C166" s="423"/>
      <c r="F166" s="23">
        <f t="shared" si="27"/>
        <v>0</v>
      </c>
      <c r="G166" s="18" t="str">
        <f t="shared" si="29"/>
        <v>'</v>
      </c>
      <c r="H166" s="416"/>
      <c r="I166" s="486"/>
    </row>
    <row r="167" spans="1:9">
      <c r="A167" s="153" t="s">
        <v>5661</v>
      </c>
      <c r="B167" s="71" t="str">
        <f>Language!A624</f>
        <v xml:space="preserve">In the last 6 months, has the lab experienced stock outs of other key materials? </v>
      </c>
      <c r="C167" s="423"/>
      <c r="F167" s="23">
        <f t="shared" si="27"/>
        <v>0</v>
      </c>
      <c r="G167" s="18" t="str">
        <f t="shared" si="29"/>
        <v>'</v>
      </c>
      <c r="H167" s="416"/>
      <c r="I167" s="486"/>
    </row>
    <row r="168" spans="1:9" ht="28.2" customHeight="1">
      <c r="A168" s="153" t="s">
        <v>5662</v>
      </c>
      <c r="B168" s="71" t="str">
        <f>Language!A625</f>
        <v>In the last 6 months, have any stock outs disrupted the lab's ability to provide routine bacteriology services?</v>
      </c>
      <c r="C168" s="423"/>
      <c r="F168" s="23">
        <f t="shared" si="27"/>
        <v>0</v>
      </c>
      <c r="G168" s="18" t="str">
        <f t="shared" si="29"/>
        <v>'</v>
      </c>
      <c r="H168" s="416"/>
      <c r="I168" s="18" t="str">
        <f>IF(C168="Yes","System Flag","'")</f>
        <v>'</v>
      </c>
    </row>
    <row r="169" spans="1:9" ht="27.6" customHeight="1">
      <c r="A169" s="153" t="s">
        <v>5663</v>
      </c>
      <c r="B169" s="127" t="str">
        <f>Language!A626</f>
        <v>In the event of stock outs, is a contingency plan in place to provide uninterrupted bacteriology services?</v>
      </c>
      <c r="C169" s="423"/>
      <c r="D169" s="156"/>
      <c r="F169" s="23">
        <f t="shared" si="27"/>
        <v>0</v>
      </c>
      <c r="G169" s="18" t="str">
        <f t="shared" ref="G169" si="30">IF(F169="Yes",1,IF(F169="No",0,"'"))</f>
        <v>'</v>
      </c>
      <c r="H169" s="416"/>
    </row>
    <row r="170" spans="1:9" ht="22.95" customHeight="1">
      <c r="A170" s="16"/>
      <c r="B170" s="625" t="str">
        <f>Language!A627</f>
        <v>Standard: Testing services should not be subject to interruption due to stock outs. Laboratories should pursue all options for borrowing stock from another laboratory or referring samples to another testing facility while the stock out is being addressed.</v>
      </c>
      <c r="C170" s="626"/>
    </row>
    <row r="171" spans="1:9" ht="27.6">
      <c r="A171" s="153" t="s">
        <v>5664</v>
      </c>
      <c r="B171" s="20" t="str">
        <f>Language!A628</f>
        <v>Are all currently in use media, reagents and test kits within the manufacturer-assigned expiry dates? (Verify by random sampling)</v>
      </c>
      <c r="C171" s="423"/>
      <c r="F171" s="23">
        <f>C171</f>
        <v>0</v>
      </c>
      <c r="G171" s="18" t="str">
        <f t="shared" ref="G171" si="31">IF(F171="Yes",1,IF(F171="No",0,"'"))</f>
        <v>'</v>
      </c>
      <c r="H171" s="416"/>
    </row>
    <row r="172" spans="1:9" ht="20.7" customHeight="1">
      <c r="A172" s="16"/>
      <c r="B172" s="623" t="str">
        <f>Language!A629</f>
        <v>Standard: All reagent and test kits in use, as well as those in stock, should be within the manufacturer-assigned expiry dates. Expired stock should not be entered into use and should be documented before disposal.</v>
      </c>
      <c r="C172" s="627"/>
    </row>
    <row r="173" spans="1:9" ht="27.6">
      <c r="A173" s="153" t="s">
        <v>5665</v>
      </c>
      <c r="B173" s="8" t="str">
        <f>Language!A630</f>
        <v>Are all reconstituted reagents, such as coagulase plasma, within stability from the date of reconstitution? (Coagulase plasma expires 30 days after reconstitution when stored frozen).</v>
      </c>
      <c r="C173" s="423"/>
      <c r="F173" s="23">
        <f>C173</f>
        <v>0</v>
      </c>
      <c r="G173" s="18" t="str">
        <f t="shared" ref="G173" si="32">IF(F173="Yes",1,IF(F173="No",0,"'"))</f>
        <v>'</v>
      </c>
      <c r="H173" s="416"/>
      <c r="I173" s="486"/>
    </row>
    <row r="174" spans="1:9">
      <c r="B174" s="443"/>
    </row>
    <row r="175" spans="1:9">
      <c r="A175" s="491"/>
      <c r="B175" s="22"/>
      <c r="C175" s="22"/>
      <c r="H175" s="259"/>
    </row>
    <row r="176" spans="1:9">
      <c r="A176" s="491"/>
      <c r="B176" s="22"/>
      <c r="C176" s="22"/>
      <c r="H176" s="259"/>
    </row>
    <row r="177" spans="1:8">
      <c r="A177" s="491"/>
      <c r="B177" s="22"/>
      <c r="C177" s="22"/>
      <c r="H177" s="259"/>
    </row>
    <row r="178" spans="1:8">
      <c r="A178" s="491"/>
      <c r="B178" s="22"/>
      <c r="C178" s="22"/>
      <c r="H178" s="259"/>
    </row>
    <row r="185" spans="1:8">
      <c r="B185" s="22"/>
    </row>
  </sheetData>
  <sheetProtection algorithmName="SHA-256" hashValue="1A/KrflMdqTkcMO4QyBV/nxNQ9Pzy45HJo0xthAv/v4=" saltValue="EmWrP97MiayQBH6yDHQP4w==" spinCount="100000" sheet="1" objects="1" scenarios="1"/>
  <dataConsolidate/>
  <mergeCells count="5">
    <mergeCell ref="B79:B81"/>
    <mergeCell ref="B16:H16"/>
    <mergeCell ref="B170:C170"/>
    <mergeCell ref="B172:C172"/>
    <mergeCell ref="B110:C110"/>
  </mergeCells>
  <phoneticPr fontId="45" type="noConversion"/>
  <conditionalFormatting sqref="C3">
    <cfRule type="cellIs" dxfId="1425" priority="580" stopIfTrue="1" operator="lessThan">
      <formula>0.5</formula>
    </cfRule>
    <cfRule type="cellIs" dxfId="1424" priority="579" stopIfTrue="1" operator="between">
      <formula>0.5</formula>
      <formula>0.799</formula>
    </cfRule>
    <cfRule type="cellIs" dxfId="1423" priority="578" stopIfTrue="1" operator="greaterThanOrEqual">
      <formula>0.8</formula>
    </cfRule>
  </conditionalFormatting>
  <conditionalFormatting sqref="C20">
    <cfRule type="cellIs" dxfId="1422" priority="337" stopIfTrue="1" operator="lessThan">
      <formula>0.5</formula>
    </cfRule>
    <cfRule type="cellIs" dxfId="1421" priority="336" stopIfTrue="1" operator="between">
      <formula>0.5</formula>
      <formula>0.799</formula>
    </cfRule>
    <cfRule type="cellIs" dxfId="1420" priority="335" stopIfTrue="1" operator="greaterThanOrEqual">
      <formula>0.8</formula>
    </cfRule>
  </conditionalFormatting>
  <conditionalFormatting sqref="C43">
    <cfRule type="cellIs" dxfId="1419" priority="215" stopIfTrue="1" operator="greaterThanOrEqual">
      <formula>0.8</formula>
    </cfRule>
    <cfRule type="cellIs" dxfId="1418" priority="216" stopIfTrue="1" operator="between">
      <formula>0.5</formula>
      <formula>0.799</formula>
    </cfRule>
    <cfRule type="cellIs" dxfId="1417" priority="217" stopIfTrue="1" operator="lessThan">
      <formula>0.5</formula>
    </cfRule>
  </conditionalFormatting>
  <conditionalFormatting sqref="C53">
    <cfRule type="cellIs" dxfId="1416" priority="329" stopIfTrue="1" operator="greaterThanOrEqual">
      <formula>0.8</formula>
    </cfRule>
    <cfRule type="cellIs" dxfId="1415" priority="331" stopIfTrue="1" operator="lessThan">
      <formula>0.5</formula>
    </cfRule>
    <cfRule type="cellIs" dxfId="1414" priority="330" stopIfTrue="1" operator="between">
      <formula>0.5</formula>
      <formula>0.799</formula>
    </cfRule>
  </conditionalFormatting>
  <conditionalFormatting sqref="C67">
    <cfRule type="cellIs" dxfId="1413" priority="223" stopIfTrue="1" operator="lessThan">
      <formula>0.5</formula>
    </cfRule>
    <cfRule type="cellIs" dxfId="1412" priority="221" stopIfTrue="1" operator="greaterThanOrEqual">
      <formula>0.8</formula>
    </cfRule>
    <cfRule type="cellIs" dxfId="1411" priority="222" stopIfTrue="1" operator="between">
      <formula>0.5</formula>
      <formula>0.799</formula>
    </cfRule>
  </conditionalFormatting>
  <conditionalFormatting sqref="C78">
    <cfRule type="cellIs" dxfId="1410" priority="114" stopIfTrue="1" operator="lessThan">
      <formula>0.5</formula>
    </cfRule>
    <cfRule type="cellIs" dxfId="1409" priority="113" stopIfTrue="1" operator="between">
      <formula>0.5</formula>
      <formula>0.799</formula>
    </cfRule>
    <cfRule type="cellIs" dxfId="1408" priority="112" stopIfTrue="1" operator="greaterThanOrEqual">
      <formula>0.8</formula>
    </cfRule>
  </conditionalFormatting>
  <conditionalFormatting sqref="C79:C80">
    <cfRule type="cellIs" dxfId="1407" priority="79" stopIfTrue="1" operator="greaterThan">
      <formula>0.75</formula>
    </cfRule>
    <cfRule type="cellIs" dxfId="1406" priority="78" stopIfTrue="1" operator="between">
      <formula>0.5</formula>
      <formula>0.75</formula>
    </cfRule>
    <cfRule type="cellIs" dxfId="1405" priority="77" stopIfTrue="1" operator="lessThan">
      <formula>0.5</formula>
    </cfRule>
  </conditionalFormatting>
  <conditionalFormatting sqref="C111">
    <cfRule type="cellIs" dxfId="1403" priority="166" stopIfTrue="1" operator="lessThan">
      <formula>0.5</formula>
    </cfRule>
    <cfRule type="cellIs" dxfId="1402" priority="165" stopIfTrue="1" operator="between">
      <formula>0.5</formula>
      <formula>0.799</formula>
    </cfRule>
    <cfRule type="cellIs" dxfId="1401" priority="164" stopIfTrue="1" operator="greaterThanOrEqual">
      <formula>0.8</formula>
    </cfRule>
  </conditionalFormatting>
  <conditionalFormatting sqref="C119">
    <cfRule type="cellIs" dxfId="1400" priority="334" stopIfTrue="1" operator="lessThan">
      <formula>0.5</formula>
    </cfRule>
    <cfRule type="cellIs" dxfId="1399" priority="332" stopIfTrue="1" operator="greaterThanOrEqual">
      <formula>0.8</formula>
    </cfRule>
    <cfRule type="cellIs" dxfId="1398" priority="333" stopIfTrue="1" operator="between">
      <formula>0.5</formula>
      <formula>0.799</formula>
    </cfRule>
  </conditionalFormatting>
  <conditionalFormatting sqref="C158">
    <cfRule type="cellIs" dxfId="1397" priority="560" stopIfTrue="1" operator="greaterThanOrEqual">
      <formula>0.8</formula>
    </cfRule>
    <cfRule type="cellIs" dxfId="1396" priority="561" stopIfTrue="1" operator="between">
      <formula>0.5</formula>
      <formula>0.799</formula>
    </cfRule>
    <cfRule type="cellIs" dxfId="1395" priority="562" stopIfTrue="1" operator="lessThan">
      <formula>0.5</formula>
    </cfRule>
  </conditionalFormatting>
  <conditionalFormatting sqref="G5:G11">
    <cfRule type="containsText" dxfId="1394" priority="25" stopIfTrue="1" operator="containsText" text="RED FLAG">
      <formula>NOT(ISERROR(SEARCH("RED FLAG",G5)))</formula>
    </cfRule>
  </conditionalFormatting>
  <conditionalFormatting sqref="G5:G14">
    <cfRule type="cellIs" dxfId="1393" priority="27" stopIfTrue="1" operator="between">
      <formula>0.5</formula>
      <formula>0.75</formula>
    </cfRule>
    <cfRule type="cellIs" dxfId="1392" priority="28" stopIfTrue="1" operator="greaterThan">
      <formula>0.75</formula>
    </cfRule>
    <cfRule type="cellIs" dxfId="1391" priority="26" stopIfTrue="1" operator="lessThan">
      <formula>0.5</formula>
    </cfRule>
  </conditionalFormatting>
  <conditionalFormatting sqref="G15 G22:G42 G45:G52 G55:G66 G69:G77 G83:G84 G86:G87 G89:G90 G92:G93 G95:G96 G98:G99 G101:G103 G105:G106">
    <cfRule type="cellIs" dxfId="1390" priority="22" stopIfTrue="1" operator="lessThan">
      <formula>0.5</formula>
    </cfRule>
    <cfRule type="cellIs" dxfId="1389" priority="23" stopIfTrue="1" operator="between">
      <formula>0.5</formula>
      <formula>0.75</formula>
    </cfRule>
    <cfRule type="cellIs" dxfId="1388" priority="24" stopIfTrue="1" operator="greaterThan">
      <formula>0.75</formula>
    </cfRule>
  </conditionalFormatting>
  <conditionalFormatting sqref="G15 G22:G42 G47:G52 G55:G66 G69:G77 G83:G84 G86:G87 G89:G90 G92:G93 G95:G96 G98:G99 G101:G103 G105:G106">
    <cfRule type="containsText" dxfId="1387" priority="21" stopIfTrue="1" operator="containsText" text="RED FLAG">
      <formula>NOT(ISERROR(SEARCH("RED FLAG",G15)))</formula>
    </cfRule>
  </conditionalFormatting>
  <conditionalFormatting sqref="G17">
    <cfRule type="cellIs" dxfId="1386" priority="153" stopIfTrue="1" operator="between">
      <formula>0.5</formula>
      <formula>0.75</formula>
    </cfRule>
    <cfRule type="cellIs" dxfId="1385" priority="154" stopIfTrue="1" operator="greaterThan">
      <formula>0.75</formula>
    </cfRule>
    <cfRule type="cellIs" dxfId="1384" priority="152" stopIfTrue="1" operator="lessThan">
      <formula>0.5</formula>
    </cfRule>
  </conditionalFormatting>
  <conditionalFormatting sqref="G108">
    <cfRule type="cellIs" dxfId="1377" priority="149" stopIfTrue="1" operator="lessThan">
      <formula>0.5</formula>
    </cfRule>
    <cfRule type="cellIs" dxfId="1376" priority="150" stopIfTrue="1" operator="between">
      <formula>0.5</formula>
      <formula>0.75</formula>
    </cfRule>
    <cfRule type="cellIs" dxfId="1375" priority="151" stopIfTrue="1" operator="greaterThan">
      <formula>0.75</formula>
    </cfRule>
  </conditionalFormatting>
  <conditionalFormatting sqref="G113:G116">
    <cfRule type="containsText" dxfId="1374" priority="17" stopIfTrue="1" operator="containsText" text="RED FLAG">
      <formula>NOT(ISERROR(SEARCH("RED FLAG",G113)))</formula>
    </cfRule>
  </conditionalFormatting>
  <conditionalFormatting sqref="G113:G118">
    <cfRule type="cellIs" dxfId="1373" priority="18" stopIfTrue="1" operator="lessThan">
      <formula>0.5</formula>
    </cfRule>
    <cfRule type="cellIs" dxfId="1372" priority="19" stopIfTrue="1" operator="between">
      <formula>0.5</formula>
      <formula>0.75</formula>
    </cfRule>
    <cfRule type="cellIs" dxfId="1371" priority="20" stopIfTrue="1" operator="greaterThan">
      <formula>0.75</formula>
    </cfRule>
  </conditionalFormatting>
  <conditionalFormatting sqref="G121:G155 G157 G159 G169 G171 G173">
    <cfRule type="cellIs" dxfId="1369" priority="16" stopIfTrue="1" operator="greaterThan">
      <formula>0.75</formula>
    </cfRule>
    <cfRule type="cellIs" dxfId="1368" priority="15" stopIfTrue="1" operator="between">
      <formula>0.5</formula>
      <formula>0.75</formula>
    </cfRule>
    <cfRule type="cellIs" dxfId="1367" priority="14" stopIfTrue="1" operator="lessThan">
      <formula>0.5</formula>
    </cfRule>
  </conditionalFormatting>
  <conditionalFormatting sqref="G122:G127 G129:G134 G136:G141 G143:G148 G150:G155 G157 G159 G169 G171 G173">
    <cfRule type="containsText" dxfId="1366" priority="13" stopIfTrue="1" operator="containsText" text="RED FLAG">
      <formula>NOT(ISERROR(SEARCH("RED FLAG",G122)))</formula>
    </cfRule>
  </conditionalFormatting>
  <conditionalFormatting sqref="G156">
    <cfRule type="cellIs" dxfId="1365" priority="11" stopIfTrue="1" operator="greaterThan">
      <formula>0.75</formula>
    </cfRule>
    <cfRule type="cellIs" dxfId="1364" priority="10" stopIfTrue="1" operator="between">
      <formula>0.5</formula>
      <formula>0.75</formula>
    </cfRule>
    <cfRule type="cellIs" dxfId="1363" priority="9" stopIfTrue="1" operator="lessThan">
      <formula>0.5</formula>
    </cfRule>
  </conditionalFormatting>
  <conditionalFormatting sqref="G160:G168">
    <cfRule type="cellIs" dxfId="1360" priority="7" stopIfTrue="1" operator="greaterThan">
      <formula>0.75</formula>
    </cfRule>
    <cfRule type="cellIs" dxfId="1359" priority="6" stopIfTrue="1" operator="between">
      <formula>0.5</formula>
      <formula>0.75</formula>
    </cfRule>
    <cfRule type="cellIs" dxfId="1358" priority="5" stopIfTrue="1" operator="lessThan">
      <formula>0.5</formula>
    </cfRule>
  </conditionalFormatting>
  <conditionalFormatting sqref="I14">
    <cfRule type="containsText" dxfId="1357" priority="58" operator="containsText" text="System Flag">
      <formula>NOT(ISERROR(SEARCH("System Flag",I14)))</formula>
    </cfRule>
  </conditionalFormatting>
  <conditionalFormatting sqref="I17">
    <cfRule type="cellIs" dxfId="1356" priority="2" operator="equal">
      <formula>"System Flag"</formula>
    </cfRule>
  </conditionalFormatting>
  <conditionalFormatting sqref="I40">
    <cfRule type="cellIs" dxfId="1355" priority="53" stopIfTrue="1" operator="greaterThan">
      <formula>0.75</formula>
    </cfRule>
    <cfRule type="cellIs" dxfId="1354" priority="52" stopIfTrue="1" operator="between">
      <formula>0.5</formula>
      <formula>0.75</formula>
    </cfRule>
    <cfRule type="cellIs" dxfId="1353" priority="51" stopIfTrue="1" operator="lessThan">
      <formula>0.5</formula>
    </cfRule>
    <cfRule type="containsText" dxfId="1352" priority="50" stopIfTrue="1" operator="containsText" text="RED FLAG">
      <formula>NOT(ISERROR(SEARCH("RED FLAG",I40)))</formula>
    </cfRule>
  </conditionalFormatting>
  <conditionalFormatting sqref="I64">
    <cfRule type="cellIs" dxfId="1351" priority="57" stopIfTrue="1" operator="greaterThan">
      <formula>0.75</formula>
    </cfRule>
    <cfRule type="cellIs" dxfId="1350" priority="56" stopIfTrue="1" operator="between">
      <formula>0.5</formula>
      <formula>0.75</formula>
    </cfRule>
    <cfRule type="cellIs" dxfId="1349" priority="55" stopIfTrue="1" operator="lessThan">
      <formula>0.5</formula>
    </cfRule>
    <cfRule type="containsText" dxfId="1348" priority="54" stopIfTrue="1" operator="containsText" text="RED FLAG">
      <formula>NOT(ISERROR(SEARCH("RED FLAG",I64)))</formula>
    </cfRule>
  </conditionalFormatting>
  <conditionalFormatting sqref="I156">
    <cfRule type="containsText" dxfId="1347" priority="3" operator="containsText" text="System Flag">
      <formula>NOT(ISERROR(SEARCH("System Flag",I156)))</formula>
    </cfRule>
  </conditionalFormatting>
  <conditionalFormatting sqref="I168">
    <cfRule type="containsText" dxfId="1346" priority="4" operator="containsText" text="System Flag">
      <formula>NOT(ISERROR(SEARCH("System Flag",I168)))</formula>
    </cfRule>
  </conditionalFormatting>
  <dataValidations count="5">
    <dataValidation type="list" allowBlank="1" showInputMessage="1" showErrorMessage="1" sqref="C44 C121 C98:C99 C128 C135 C22:C42 C156:C157 C83:C84 C95:C96 C171 C5:C11 C14:C15 C142 C149 C159:C164 C166:C169" xr:uid="{00000000-0002-0000-0500-000000000000}">
      <formula1>"Yes,No"</formula1>
    </dataValidation>
    <dataValidation type="list" allowBlank="1" showInputMessage="1" showErrorMessage="1" sqref="C122:C127 C173 C47:C52 C69:C77 C55:C66 C105:C106 C113:C116 C92:C93 C101:C103 C86:C87 C89:C90 C118 C150:C155 C143:C148 C129:C134 C136:C141 C165" xr:uid="{00000000-0002-0000-0500-000001000000}">
      <formula1>"Yes,No,NA"</formula1>
    </dataValidation>
    <dataValidation type="list" allowBlank="1" showInputMessage="1" showErrorMessage="1" sqref="C17 C108" xr:uid="{00000000-0002-0000-0500-000002000000}">
      <formula1>"1,2,3"</formula1>
    </dataValidation>
    <dataValidation type="list" allowBlank="1" showInputMessage="1" showErrorMessage="1" sqref="C12:C13" xr:uid="{00000000-0002-0000-0500-000003000000}">
      <formula1>"Yes,Partial,No"</formula1>
    </dataValidation>
    <dataValidation type="list" allowBlank="1" showInputMessage="1" showErrorMessage="1" sqref="C117" xr:uid="{00000000-0002-0000-0500-000004000000}">
      <formula1>"1,2,3,4"</formula1>
    </dataValidation>
  </dataValidations>
  <pageMargins left="0.25" right="0.25" top="0.75000000000000011" bottom="0.75000000000000011" header="0.30000000000000004" footer="0.30000000000000004"/>
  <pageSetup paperSize="9" scale="93" fitToHeight="7" orientation="landscape" r:id="rId1"/>
  <headerFooter>
    <oddFooter>&amp;C&amp;A -&amp;P</oddFooter>
    <firstFooter>&amp;C7</firstFooter>
  </headerFooter>
  <rowBreaks count="7" manualBreakCount="7">
    <brk id="19" max="4" man="1"/>
    <brk id="42" max="4" man="1"/>
    <brk id="66" max="4" man="1"/>
    <brk id="94" max="4" man="1"/>
    <brk id="118" max="4" man="1"/>
    <brk id="148" max="4" man="1"/>
    <brk id="168"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text="RED FLAG" id="{46184576-07A6-6446-9665-B80337F1DADD}">
            <xm:f>NOT(ISERROR(SEARCH("RED FLAG",'ID QC 6'!#REF!)))</xm:f>
            <x14:dxf>
              <font>
                <color rgb="FF9C0006"/>
              </font>
              <fill>
                <patternFill>
                  <bgColor rgb="FFFFC7CE"/>
                </patternFill>
              </fill>
            </x14:dxf>
          </x14:cfRule>
          <xm:sqref>C79:C80</xm:sqref>
        </x14:conditionalFormatting>
        <x14:conditionalFormatting xmlns:xm="http://schemas.microsoft.com/office/excel/2006/main">
          <x14:cfRule type="containsText" priority="1317" stopIfTrue="1" operator="containsText" text="RED FLAG" id="{80BB7D83-2B20-4171-BCCA-AB54AA03F862}">
            <xm:f>NOT(ISERROR(SEARCH("RED FLAG",'ID QC 6'!#REF!)))</xm:f>
            <x14:dxf>
              <font>
                <color rgb="FF9C0006"/>
              </font>
              <fill>
                <patternFill>
                  <bgColor rgb="FFFFC7CE"/>
                </patternFill>
              </fill>
            </x14:dxf>
          </x14:cfRule>
          <xm:sqref>G43:G46</xm:sqref>
        </x14:conditionalFormatting>
        <x14:conditionalFormatting xmlns:xm="http://schemas.microsoft.com/office/excel/2006/main">
          <x14:cfRule type="containsText" priority="1303" stopIfTrue="1" operator="containsText" text="RED FLAG" id="{80BB7D83-2B20-4171-BCCA-AB54AA03F862}">
            <xm:f>NOT(ISERROR(SEARCH("RED FLAG",'ID QC 6'!#REF!)))</xm:f>
            <x14:dxf>
              <font>
                <color rgb="FF9C0006"/>
              </font>
              <fill>
                <patternFill>
                  <bgColor rgb="FFFFC7CE"/>
                </patternFill>
              </fill>
            </x14:dxf>
          </x14:cfRule>
          <xm:sqref>G78:G82 G85 G91</xm:sqref>
        </x14:conditionalFormatting>
        <x14:conditionalFormatting xmlns:xm="http://schemas.microsoft.com/office/excel/2006/main">
          <x14:cfRule type="containsText" priority="76" stopIfTrue="1" operator="containsText" text="RED FLAG" id="{CD9D5D25-37E2-446C-98D0-606777B9878F}">
            <xm:f>NOT(ISERROR(SEARCH("RED FLAG",'ID QC 6'!#REF!)))</xm:f>
            <x14:dxf>
              <font>
                <color rgb="FF9C0006"/>
              </font>
              <fill>
                <patternFill>
                  <bgColor rgb="FFFFC7CE"/>
                </patternFill>
              </fill>
            </x14:dxf>
          </x14:cfRule>
          <xm:sqref>G88</xm:sqref>
        </x14:conditionalFormatting>
        <x14:conditionalFormatting xmlns:xm="http://schemas.microsoft.com/office/excel/2006/main">
          <x14:cfRule type="containsText" priority="1314" stopIfTrue="1" operator="containsText" text="RED FLAG" id="{B1C575C8-8F06-42D7-977F-6F0D998501BC}">
            <xm:f>NOT(ISERROR(SEARCH("RED FLAG",'ID QC 6'!#REF!)))</xm:f>
            <x14:dxf>
              <font>
                <color rgb="FF9C0006"/>
              </font>
              <fill>
                <patternFill>
                  <bgColor rgb="FFFFC7CE"/>
                </patternFill>
              </fill>
            </x14:dxf>
          </x14:cfRule>
          <xm:sqref>G94 G100</xm:sqref>
        </x14:conditionalFormatting>
        <x14:conditionalFormatting xmlns:xm="http://schemas.microsoft.com/office/excel/2006/main">
          <x14:cfRule type="containsText" priority="1310" stopIfTrue="1" operator="containsText" text="RED FLAG" id="{B1C575C8-8F06-42D7-977F-6F0D998501BC}">
            <xm:f>NOT(ISERROR(SEARCH("RED FLAG",'ID QC 6'!#REF!)))</xm:f>
            <x14:dxf>
              <font>
                <color rgb="FF9C0006"/>
              </font>
              <fill>
                <patternFill>
                  <bgColor rgb="FFFFC7CE"/>
                </patternFill>
              </fill>
            </x14:dxf>
          </x14:cfRule>
          <xm:sqref>G104</xm:sqref>
        </x14:conditionalFormatting>
        <x14:conditionalFormatting xmlns:xm="http://schemas.microsoft.com/office/excel/2006/main">
          <x14:cfRule type="containsText" priority="1307" stopIfTrue="1" operator="containsText" text="RED FLAG" id="{B6516C9F-3D7F-4172-A765-8BD455D99E5C}">
            <xm:f>NOT(ISERROR(SEARCH("RED FLAG",'ID QC 6'!#REF!)))</xm:f>
            <x14:dxf>
              <font>
                <color rgb="FF9C0006"/>
              </font>
              <fill>
                <patternFill>
                  <bgColor rgb="FFFFC7CE"/>
                </patternFill>
              </fill>
            </x14:dxf>
          </x14:cfRule>
          <xm:sqref>G107:G112</xm:sqref>
        </x14:conditionalFormatting>
        <x14:conditionalFormatting xmlns:xm="http://schemas.microsoft.com/office/excel/2006/main">
          <x14:cfRule type="containsText" priority="69" stopIfTrue="1" operator="containsText" text="RED FLAG" id="{6C471814-8830-470A-8D34-88B8B15251C5}">
            <xm:f>NOT(ISERROR(SEARCH("RED FLAG",'ID QC 6'!#REF!)))</xm:f>
            <x14:dxf>
              <font>
                <color rgb="FF9C0006"/>
              </font>
              <fill>
                <patternFill>
                  <bgColor rgb="FFFFC7CE"/>
                </patternFill>
              </fill>
            </x14:dxf>
          </x14:cfRule>
          <xm:sqref>G117:G118</xm:sqref>
        </x14:conditionalFormatting>
        <x14:conditionalFormatting xmlns:xm="http://schemas.microsoft.com/office/excel/2006/main">
          <x14:cfRule type="containsText" priority="12" stopIfTrue="1" operator="containsText" text="RED FLAG" id="{71225955-C49B-4DEE-AFFB-4E1B574ACC26}">
            <xm:f>NOT(ISERROR(SEARCH("RED FLAG",'ID QC 6'!#REF!)))</xm:f>
            <x14:dxf>
              <font>
                <color rgb="FF9C0006"/>
              </font>
              <fill>
                <patternFill>
                  <bgColor rgb="FFFFC7CE"/>
                </patternFill>
              </fill>
            </x14:dxf>
          </x14:cfRule>
          <xm:sqref>G156</xm:sqref>
        </x14:conditionalFormatting>
        <x14:conditionalFormatting xmlns:xm="http://schemas.microsoft.com/office/excel/2006/main">
          <x14:cfRule type="containsText" priority="8" stopIfTrue="1" operator="containsText" text="RED FLAG" id="{02203C20-9524-4F27-AF4E-B6A95EF99234}">
            <xm:f>NOT(ISERROR(SEARCH("RED FLAG",'ID QC 6'!#REF!)))</xm:f>
            <x14:dxf>
              <font>
                <color rgb="FF9C0006"/>
              </font>
              <fill>
                <patternFill>
                  <bgColor rgb="FFFFC7CE"/>
                </patternFill>
              </fill>
            </x14:dxf>
          </x14:cfRule>
          <xm:sqref>G160:G168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0070C0"/>
    <pageSetUpPr fitToPage="1"/>
  </sheetPr>
  <dimension ref="A1:M91"/>
  <sheetViews>
    <sheetView zoomScaleNormal="80" zoomScalePageLayoutView="80" workbookViewId="0">
      <selection activeCell="C6" sqref="C6"/>
    </sheetView>
  </sheetViews>
  <sheetFormatPr defaultColWidth="11" defaultRowHeight="15.6"/>
  <cols>
    <col min="1" max="1" width="4.69921875" style="6" customWidth="1"/>
    <col min="2" max="2" width="82.19921875" style="13" customWidth="1"/>
    <col min="3" max="3" width="5.19921875" style="15" bestFit="1" customWidth="1"/>
    <col min="4" max="4" width="3.69921875" style="22" customWidth="1"/>
    <col min="5" max="5" width="3.69921875" style="22" hidden="1" customWidth="1"/>
    <col min="6" max="6" width="5.19921875" style="22" hidden="1" customWidth="1"/>
    <col min="7" max="7" width="5.19921875" style="22" customWidth="1"/>
    <col min="8" max="8" width="37.69921875" style="257" customWidth="1"/>
    <col min="9" max="9" width="9.69921875" style="22" customWidth="1"/>
    <col min="10" max="13" width="11" style="194"/>
    <col min="14" max="16384" width="11" style="22"/>
  </cols>
  <sheetData>
    <row r="1" spans="1:13">
      <c r="A1" s="10"/>
      <c r="B1" s="11" t="str">
        <f>Language!A637</f>
        <v>2 - LABORATORY INFORMATION SYSTEM (ELECTRONIC)</v>
      </c>
      <c r="C1" s="51" t="str">
        <f>IF(F6="Yes",AVERAGE(G4:G129),IF(F6="No","NA","???"))</f>
        <v>???</v>
      </c>
      <c r="E1" s="194"/>
      <c r="F1" s="194"/>
      <c r="G1" s="194"/>
      <c r="H1" s="256" t="str">
        <f>'Facility 1'!H1</f>
        <v>Comments</v>
      </c>
      <c r="I1" s="194"/>
    </row>
    <row r="2" spans="1:13" ht="28.95" customHeight="1">
      <c r="A2" s="10"/>
      <c r="B2" s="475" t="str">
        <f>Language!A638</f>
        <v>If the lab does not use an electronic LIS, answer No to question 2.1, then skip to the Data Management tab, #3.</v>
      </c>
      <c r="C2" s="474"/>
      <c r="D2" s="474"/>
      <c r="E2" s="469"/>
      <c r="F2" s="469"/>
      <c r="G2" s="473"/>
      <c r="H2" s="473"/>
      <c r="I2" s="194"/>
    </row>
    <row r="3" spans="1:13" ht="28.95" customHeight="1">
      <c r="A3" s="10"/>
      <c r="B3" s="470" t="str">
        <f>Language!A639</f>
        <v>The scores for this section reflect the usability of the computer-based LIS and its likely compatibility with AMR surveillance systems, not the quality of the laboratory</v>
      </c>
      <c r="C3" s="472"/>
      <c r="D3" s="472"/>
      <c r="E3" s="129"/>
      <c r="F3" s="129"/>
      <c r="G3" s="129"/>
      <c r="H3" s="129"/>
      <c r="I3" s="194"/>
    </row>
    <row r="4" spans="1:13" ht="28.95" customHeight="1" thickBot="1">
      <c r="A4" s="10"/>
      <c r="B4" s="471" t="str">
        <f>Language!A640</f>
        <v>When exporting data from a LIS for data analysis purposes, including AMR surveillance, it is important that each data field is discrete</v>
      </c>
      <c r="C4" s="55"/>
      <c r="D4" s="55"/>
      <c r="E4" s="8"/>
      <c r="F4" s="8"/>
      <c r="G4" s="8"/>
      <c r="H4" s="8"/>
      <c r="I4" s="127"/>
    </row>
    <row r="5" spans="1:13" ht="16.2" thickBot="1">
      <c r="A5" s="160"/>
      <c r="B5" s="75" t="str">
        <f>Language!A641</f>
        <v>DEMOGRAPHIC DATA FIELDS</v>
      </c>
      <c r="C5" s="47" t="str">
        <f>IF(COUNTBLANK(C6:C16)=11,"???",IF(F6="Yes",AVERAGE(G6:G16),"NA"))</f>
        <v>???</v>
      </c>
      <c r="E5" s="127"/>
      <c r="F5" s="127"/>
      <c r="G5" s="127"/>
      <c r="H5" s="417"/>
      <c r="I5" s="127"/>
    </row>
    <row r="6" spans="1:13" s="492" customFormat="1" ht="16.2" thickBot="1">
      <c r="A6" s="10" t="s">
        <v>5666</v>
      </c>
      <c r="B6" s="20" t="str">
        <f>Language!A642</f>
        <v>Does the laboratory use a computer-based Laboratory Information System (LIS)?</v>
      </c>
      <c r="C6" s="423"/>
      <c r="F6" s="23">
        <f>C6</f>
        <v>0</v>
      </c>
      <c r="G6" s="18" t="str">
        <f t="shared" ref="G6" si="0">IF(F6="Yes",1,IF(F6="No",0,"'"))</f>
        <v>'</v>
      </c>
      <c r="H6" s="425" t="str">
        <f>Language!A643</f>
        <v>Name of LIS:</v>
      </c>
      <c r="I6" s="18" t="str">
        <f>IF(C6="No","System Flag","'")</f>
        <v>'</v>
      </c>
      <c r="J6" s="489"/>
      <c r="K6" s="194"/>
      <c r="L6" s="194"/>
      <c r="M6" s="194"/>
    </row>
    <row r="7" spans="1:13" s="492" customFormat="1" ht="16.2" customHeight="1" thickBot="1">
      <c r="A7" s="10"/>
      <c r="B7" s="439" t="str">
        <f>Language!A644</f>
        <v>If yes, please record name in comments. PLEASE NOTE: WHONET is not a LIS</v>
      </c>
      <c r="G7" s="18"/>
      <c r="H7" s="515"/>
      <c r="J7" s="489"/>
      <c r="K7" s="194"/>
      <c r="L7" s="194"/>
      <c r="M7" s="194"/>
    </row>
    <row r="8" spans="1:13" ht="15.6" customHeight="1">
      <c r="A8" s="10"/>
      <c r="B8" s="89" t="str">
        <f>Language!A645</f>
        <v>Observe data entry into the LIS. Are individual data fields present for each of the following?</v>
      </c>
      <c r="C8" s="22"/>
      <c r="D8" s="492"/>
      <c r="E8" s="492"/>
      <c r="H8" s="259"/>
      <c r="J8" s="489"/>
    </row>
    <row r="9" spans="1:13">
      <c r="A9" s="10" t="s">
        <v>5667</v>
      </c>
      <c r="B9" s="17" t="str">
        <f>Language!A646</f>
        <v>Patient Last Name/Surname</v>
      </c>
      <c r="C9" s="423"/>
      <c r="F9" s="23">
        <f t="shared" ref="F9:F16" si="1">C9</f>
        <v>0</v>
      </c>
      <c r="G9" s="18" t="str">
        <f t="shared" ref="G9:G15" si="2">IF(F9="Yes",1,IF(F9="No",0,"'"))</f>
        <v>'</v>
      </c>
      <c r="H9" s="416"/>
      <c r="J9" s="489"/>
    </row>
    <row r="10" spans="1:13">
      <c r="A10" s="10" t="s">
        <v>5668</v>
      </c>
      <c r="B10" s="17" t="str">
        <f>Language!A647</f>
        <v>Patient First Name</v>
      </c>
      <c r="C10" s="423"/>
      <c r="F10" s="23">
        <f t="shared" si="1"/>
        <v>0</v>
      </c>
      <c r="G10" s="18" t="str">
        <f t="shared" si="2"/>
        <v>'</v>
      </c>
      <c r="H10" s="416"/>
      <c r="J10" s="489"/>
    </row>
    <row r="11" spans="1:13">
      <c r="A11" s="10" t="s">
        <v>5669</v>
      </c>
      <c r="B11" s="37" t="str">
        <f>Language!A648</f>
        <v>Patient Identification Number</v>
      </c>
      <c r="C11" s="423"/>
      <c r="F11" s="23">
        <f t="shared" si="1"/>
        <v>0</v>
      </c>
      <c r="G11" s="18" t="str">
        <f t="shared" si="2"/>
        <v>'</v>
      </c>
      <c r="H11" s="416"/>
      <c r="I11" s="20"/>
      <c r="J11" s="489"/>
    </row>
    <row r="12" spans="1:13">
      <c r="A12" s="10" t="s">
        <v>5670</v>
      </c>
      <c r="B12" s="37" t="str">
        <f>Language!A649</f>
        <v>Patient Date of Birth</v>
      </c>
      <c r="C12" s="423"/>
      <c r="F12" s="23">
        <f t="shared" si="1"/>
        <v>0</v>
      </c>
      <c r="G12" s="18" t="str">
        <f t="shared" si="2"/>
        <v>'</v>
      </c>
      <c r="H12" s="416"/>
      <c r="I12" s="20"/>
      <c r="J12" s="489"/>
    </row>
    <row r="13" spans="1:13">
      <c r="A13" s="10" t="s">
        <v>5671</v>
      </c>
      <c r="B13" s="37" t="str">
        <f>Language!A650</f>
        <v>Patient Age</v>
      </c>
      <c r="C13" s="423"/>
      <c r="F13" s="23">
        <f t="shared" si="1"/>
        <v>0</v>
      </c>
      <c r="G13" s="18" t="str">
        <f t="shared" si="2"/>
        <v>'</v>
      </c>
      <c r="H13" s="416"/>
      <c r="I13" s="20"/>
      <c r="J13" s="489"/>
    </row>
    <row r="14" spans="1:13">
      <c r="A14" s="10" t="s">
        <v>5672</v>
      </c>
      <c r="B14" s="37" t="str">
        <f>Language!A651</f>
        <v>Patient Sex</v>
      </c>
      <c r="C14" s="423"/>
      <c r="F14" s="23">
        <f t="shared" si="1"/>
        <v>0</v>
      </c>
      <c r="G14" s="18" t="str">
        <f t="shared" si="2"/>
        <v>'</v>
      </c>
      <c r="H14" s="416"/>
      <c r="I14" s="20"/>
      <c r="J14" s="489"/>
    </row>
    <row r="15" spans="1:13">
      <c r="A15" s="10" t="s">
        <v>5673</v>
      </c>
      <c r="B15" s="37" t="str">
        <f>Language!A652</f>
        <v>Patient Location (Ward or Unit at the time of specimen collection, e.g., "ICU")</v>
      </c>
      <c r="C15" s="423"/>
      <c r="F15" s="23">
        <f t="shared" si="1"/>
        <v>0</v>
      </c>
      <c r="G15" s="18" t="str">
        <f t="shared" si="2"/>
        <v>'</v>
      </c>
      <c r="H15" s="416"/>
      <c r="I15" s="20"/>
      <c r="J15" s="489"/>
    </row>
    <row r="16" spans="1:13">
      <c r="A16" s="10" t="s">
        <v>5674</v>
      </c>
      <c r="B16" s="401" t="str">
        <f>Language!A653</f>
        <v>Patient Date of Admission</v>
      </c>
      <c r="C16" s="423"/>
      <c r="F16" s="23">
        <f t="shared" si="1"/>
        <v>0</v>
      </c>
      <c r="G16" s="18" t="str">
        <f>IF(F16="Yes",1,"'")</f>
        <v>'</v>
      </c>
      <c r="H16" s="416"/>
      <c r="I16" s="20"/>
      <c r="J16" s="489"/>
    </row>
    <row r="17" spans="1:13" ht="16.2" thickBot="1">
      <c r="A17" s="16"/>
      <c r="B17" s="444"/>
      <c r="C17" s="227"/>
      <c r="D17" s="487"/>
      <c r="E17" s="194"/>
      <c r="F17" s="194"/>
      <c r="G17" s="194"/>
      <c r="H17" s="444"/>
      <c r="L17" s="22"/>
      <c r="M17" s="22"/>
    </row>
    <row r="18" spans="1:13" ht="16.2" thickBot="1">
      <c r="A18" s="160"/>
      <c r="B18" s="75" t="str">
        <f>Language!A654</f>
        <v>SPECIMEN DATA FIELDS</v>
      </c>
      <c r="C18" s="47" t="str">
        <f>IF(F6="No","NA",IF(COUNTBLANK(C20:C27)=8,"???",IF(COUNT(G20:G27)=0,"NA",AVERAGE(G20:G27))))</f>
        <v>???</v>
      </c>
      <c r="E18" s="20"/>
      <c r="F18" s="20"/>
      <c r="G18" s="20"/>
      <c r="H18" s="417"/>
      <c r="I18" s="20"/>
      <c r="J18" s="489"/>
    </row>
    <row r="19" spans="1:13">
      <c r="A19" s="10"/>
      <c r="B19" s="89" t="str">
        <f>Language!A655</f>
        <v>Observe data entry into the LIS. Are individual data fields present for each of the following?</v>
      </c>
      <c r="C19" s="22"/>
      <c r="D19" s="492"/>
      <c r="J19" s="489"/>
    </row>
    <row r="20" spans="1:13">
      <c r="A20" s="10" t="s">
        <v>5675</v>
      </c>
      <c r="B20" s="37" t="str">
        <f>Language!A656</f>
        <v>Specimen identification number</v>
      </c>
      <c r="C20" s="423"/>
      <c r="F20" s="23">
        <f t="shared" ref="F20:F27" si="3">C20</f>
        <v>0</v>
      </c>
      <c r="G20" s="18" t="str">
        <f t="shared" ref="G20:G27" si="4">IF(F20="Yes",1,IF(F20="No",0,"'"))</f>
        <v>'</v>
      </c>
      <c r="H20" s="416"/>
      <c r="I20" s="20"/>
      <c r="J20" s="489"/>
    </row>
    <row r="21" spans="1:13">
      <c r="A21" s="10" t="s">
        <v>5676</v>
      </c>
      <c r="B21" s="37" t="str">
        <f>Language!A657</f>
        <v>Specimen Type (e.g. Wound)</v>
      </c>
      <c r="C21" s="423"/>
      <c r="F21" s="23">
        <f t="shared" si="3"/>
        <v>0</v>
      </c>
      <c r="G21" s="18" t="str">
        <f t="shared" si="4"/>
        <v>'</v>
      </c>
      <c r="H21" s="416"/>
      <c r="I21" s="89"/>
      <c r="J21" s="489"/>
    </row>
    <row r="22" spans="1:13">
      <c r="A22" s="10" t="s">
        <v>5677</v>
      </c>
      <c r="B22" s="37" t="str">
        <f>Language!A658</f>
        <v>Specimen Source/Body Site (e.g., Arm)</v>
      </c>
      <c r="C22" s="423"/>
      <c r="F22" s="23">
        <f t="shared" si="3"/>
        <v>0</v>
      </c>
      <c r="G22" s="18" t="str">
        <f t="shared" si="4"/>
        <v>'</v>
      </c>
      <c r="H22" s="416"/>
      <c r="I22" s="89"/>
      <c r="J22" s="489"/>
    </row>
    <row r="23" spans="1:13">
      <c r="A23" s="10" t="s">
        <v>5678</v>
      </c>
      <c r="B23" s="37" t="str">
        <f>Language!A659</f>
        <v>Additional descriptors (e.g., Left, Right)</v>
      </c>
      <c r="C23" s="423"/>
      <c r="F23" s="23">
        <f t="shared" si="3"/>
        <v>0</v>
      </c>
      <c r="G23" s="18" t="str">
        <f t="shared" si="4"/>
        <v>'</v>
      </c>
      <c r="H23" s="416"/>
      <c r="I23" s="89"/>
      <c r="J23" s="489"/>
    </row>
    <row r="24" spans="1:13">
      <c r="A24" s="10" t="s">
        <v>5679</v>
      </c>
      <c r="B24" s="37" t="str">
        <f>Language!A660</f>
        <v>Date of specimen collection</v>
      </c>
      <c r="C24" s="423"/>
      <c r="F24" s="23">
        <f t="shared" si="3"/>
        <v>0</v>
      </c>
      <c r="G24" s="18" t="str">
        <f t="shared" si="4"/>
        <v>'</v>
      </c>
      <c r="H24" s="416"/>
      <c r="I24" s="20"/>
      <c r="J24" s="489"/>
    </row>
    <row r="25" spans="1:13">
      <c r="A25" s="10" t="s">
        <v>5680</v>
      </c>
      <c r="B25" s="37" t="str">
        <f>Language!A661</f>
        <v>Time of specimen collection</v>
      </c>
      <c r="C25" s="423"/>
      <c r="F25" s="23">
        <f t="shared" si="3"/>
        <v>0</v>
      </c>
      <c r="G25" s="18" t="str">
        <f t="shared" si="4"/>
        <v>'</v>
      </c>
      <c r="H25" s="416"/>
      <c r="J25" s="489"/>
    </row>
    <row r="26" spans="1:13">
      <c r="A26" s="10" t="s">
        <v>5681</v>
      </c>
      <c r="B26" s="37" t="str">
        <f>Language!A662</f>
        <v>Date of specimen receipt</v>
      </c>
      <c r="C26" s="423"/>
      <c r="F26" s="23">
        <f t="shared" si="3"/>
        <v>0</v>
      </c>
      <c r="G26" s="18" t="str">
        <f t="shared" si="4"/>
        <v>'</v>
      </c>
      <c r="H26" s="416"/>
      <c r="I26" s="20"/>
      <c r="J26" s="489"/>
    </row>
    <row r="27" spans="1:13">
      <c r="A27" s="10" t="s">
        <v>5682</v>
      </c>
      <c r="B27" s="37" t="str">
        <f>Language!A663</f>
        <v>Time of specimen receipt</v>
      </c>
      <c r="C27" s="423"/>
      <c r="F27" s="23">
        <f t="shared" si="3"/>
        <v>0</v>
      </c>
      <c r="G27" s="18" t="str">
        <f t="shared" si="4"/>
        <v>'</v>
      </c>
      <c r="H27" s="416"/>
      <c r="I27" s="20"/>
      <c r="J27" s="489"/>
    </row>
    <row r="28" spans="1:13" ht="16.2" thickBot="1">
      <c r="A28" s="10"/>
      <c r="B28" s="20"/>
      <c r="C28" s="20"/>
      <c r="D28" s="20"/>
      <c r="E28" s="23"/>
      <c r="F28" s="23"/>
      <c r="G28" s="18"/>
      <c r="H28" s="262"/>
      <c r="I28" s="20"/>
      <c r="J28" s="489"/>
    </row>
    <row r="29" spans="1:13" ht="16.2" thickBot="1">
      <c r="A29" s="160"/>
      <c r="B29" s="14" t="str">
        <f>Language!A664</f>
        <v>CULTURE OBSERVATION DATA FIELDS</v>
      </c>
      <c r="C29" s="47" t="str">
        <f>IF(F6="No","NA",IF(COUNTBLANK(C31:C41)=11,"???",IF(COUNT(G31:G41)=0,"NA",AVERAGE(G31:G41))))</f>
        <v>???</v>
      </c>
      <c r="H29" s="417"/>
      <c r="J29" s="489"/>
    </row>
    <row r="30" spans="1:13">
      <c r="A30" s="10"/>
      <c r="B30" s="89" t="str">
        <f>Language!A665</f>
        <v>Observe culture data entry into the LIS. Are individual data fields present for each of the following?</v>
      </c>
      <c r="C30" s="22"/>
      <c r="H30" s="259"/>
      <c r="J30" s="489"/>
    </row>
    <row r="31" spans="1:13">
      <c r="A31" s="10"/>
      <c r="B31" s="37" t="str">
        <f>Language!A666</f>
        <v>Gram stain of specimen (e.g., sputum Gram stain)</v>
      </c>
      <c r="C31" s="22"/>
      <c r="J31" s="489"/>
    </row>
    <row r="32" spans="1:13">
      <c r="A32" s="118" t="s">
        <v>5683</v>
      </c>
      <c r="B32" s="35" t="str">
        <f>Language!A667</f>
        <v>Quantity of Epithelial Cells per low power field</v>
      </c>
      <c r="C32" s="423"/>
      <c r="F32" s="23">
        <f t="shared" ref="F32:F41" si="5">C32</f>
        <v>0</v>
      </c>
      <c r="G32" s="18" t="str">
        <f t="shared" ref="G32:G41" si="6">IF(F32="Yes",1,IF(F32="No",0,"'"))</f>
        <v>'</v>
      </c>
      <c r="H32" s="416"/>
      <c r="J32" s="489"/>
    </row>
    <row r="33" spans="1:10">
      <c r="A33" s="118" t="s">
        <v>5684</v>
      </c>
      <c r="B33" s="35" t="str">
        <f>Language!A668</f>
        <v>Quantity of PMNs (WBCs) per low power field</v>
      </c>
      <c r="C33" s="423"/>
      <c r="F33" s="23">
        <f t="shared" si="5"/>
        <v>0</v>
      </c>
      <c r="G33" s="18" t="str">
        <f t="shared" si="6"/>
        <v>'</v>
      </c>
      <c r="H33" s="416"/>
      <c r="J33" s="489"/>
    </row>
    <row r="34" spans="1:10">
      <c r="A34" s="118" t="s">
        <v>5685</v>
      </c>
      <c r="B34" s="35" t="str">
        <f>Language!A669</f>
        <v>Quantity of bacterial cells per high power field</v>
      </c>
      <c r="C34" s="423"/>
      <c r="F34" s="23">
        <f t="shared" si="5"/>
        <v>0</v>
      </c>
      <c r="G34" s="18" t="str">
        <f t="shared" si="6"/>
        <v>'</v>
      </c>
      <c r="H34" s="416"/>
      <c r="J34" s="489"/>
    </row>
    <row r="35" spans="1:10">
      <c r="A35" s="118" t="s">
        <v>5686</v>
      </c>
      <c r="B35" s="35" t="str">
        <f>Language!A670</f>
        <v>Type of bacterial cells (gram-positive cocci, gram-negative bacilli, etc.)</v>
      </c>
      <c r="C35" s="423"/>
      <c r="F35" s="23">
        <f t="shared" si="5"/>
        <v>0</v>
      </c>
      <c r="G35" s="18" t="str">
        <f t="shared" si="6"/>
        <v>'</v>
      </c>
      <c r="H35" s="416"/>
      <c r="J35" s="489"/>
    </row>
    <row r="36" spans="1:10" ht="27.6" customHeight="1">
      <c r="A36" s="118" t="s">
        <v>5687</v>
      </c>
      <c r="B36" s="35" t="str">
        <f>Language!A671</f>
        <v>Description of colony morphologies (e.g. "mucoid lactose-fermenter" or "beta-hemolytic")</v>
      </c>
      <c r="C36" s="423"/>
      <c r="F36" s="23">
        <f t="shared" si="5"/>
        <v>0</v>
      </c>
      <c r="G36" s="18" t="str">
        <f t="shared" si="6"/>
        <v>'</v>
      </c>
      <c r="H36" s="416"/>
      <c r="J36" s="489"/>
    </row>
    <row r="37" spans="1:10" ht="27.6" customHeight="1">
      <c r="A37" s="118" t="s">
        <v>5688</v>
      </c>
      <c r="B37" s="37" t="str">
        <f>Language!A672</f>
        <v>Description of colony quantities (e.g. "1+, 2+, 3+, 4+" or "few, moderate, many")</v>
      </c>
      <c r="C37" s="423"/>
      <c r="F37" s="23">
        <f t="shared" si="5"/>
        <v>0</v>
      </c>
      <c r="G37" s="18" t="str">
        <f t="shared" si="6"/>
        <v>'</v>
      </c>
      <c r="H37" s="416"/>
      <c r="J37" s="489"/>
    </row>
    <row r="38" spans="1:10">
      <c r="A38" s="118" t="s">
        <v>5689</v>
      </c>
      <c r="B38" s="17" t="str">
        <f>Language!A673</f>
        <v>Gram stain of bacterial colony</v>
      </c>
      <c r="C38" s="423"/>
      <c r="F38" s="23">
        <f t="shared" si="5"/>
        <v>0</v>
      </c>
      <c r="G38" s="18" t="str">
        <f t="shared" si="6"/>
        <v>'</v>
      </c>
      <c r="H38" s="416"/>
      <c r="J38" s="489"/>
    </row>
    <row r="39" spans="1:10">
      <c r="A39" s="118" t="s">
        <v>5690</v>
      </c>
      <c r="B39" s="37" t="str">
        <f>Language!A674</f>
        <v>Biochemical test results (e.g., "catalase positive") for conventional test methods</v>
      </c>
      <c r="C39" s="423"/>
      <c r="F39" s="23">
        <f t="shared" si="5"/>
        <v>0</v>
      </c>
      <c r="G39" s="18" t="str">
        <f t="shared" si="6"/>
        <v>'</v>
      </c>
      <c r="H39" s="416"/>
      <c r="J39" s="489"/>
    </row>
    <row r="40" spans="1:10">
      <c r="A40" s="118" t="s">
        <v>5691</v>
      </c>
      <c r="B40" s="37" t="str">
        <f>Language!A675</f>
        <v>Organism name</v>
      </c>
      <c r="C40" s="423"/>
      <c r="F40" s="23">
        <f t="shared" si="5"/>
        <v>0</v>
      </c>
      <c r="G40" s="18" t="str">
        <f t="shared" si="6"/>
        <v>'</v>
      </c>
      <c r="H40" s="416"/>
      <c r="J40" s="489"/>
    </row>
    <row r="41" spans="1:10" ht="27.6" customHeight="1">
      <c r="A41" s="118" t="s">
        <v>5692</v>
      </c>
      <c r="B41" s="37" t="str">
        <f>Language!A676</f>
        <v>Isolate number (e.g., when more than one pathogen is encountered in a culture: isolate #1, isolate #2)</v>
      </c>
      <c r="C41" s="423"/>
      <c r="F41" s="23">
        <f t="shared" si="5"/>
        <v>0</v>
      </c>
      <c r="G41" s="18" t="str">
        <f t="shared" si="6"/>
        <v>'</v>
      </c>
      <c r="H41" s="416"/>
      <c r="J41" s="489"/>
    </row>
    <row r="42" spans="1:10" ht="16.2" thickBot="1">
      <c r="A42" s="10"/>
      <c r="B42" s="20"/>
      <c r="C42" s="20"/>
      <c r="D42" s="20"/>
      <c r="E42" s="20"/>
      <c r="F42" s="20"/>
      <c r="G42" s="20"/>
      <c r="J42" s="489"/>
    </row>
    <row r="43" spans="1:10" ht="16.2" thickBot="1">
      <c r="A43" s="160"/>
      <c r="B43" s="75" t="str">
        <f>Language!A677</f>
        <v>AST DATA FIELDS</v>
      </c>
      <c r="C43" s="47" t="str">
        <f>IF(F6="No","NA",IF(COUNTBLANK(C44:C55)=12,"???",IF(COUNT(G44:G55)=0,"NA",AVERAGE(G44:G55))))</f>
        <v>???</v>
      </c>
      <c r="E43" s="20"/>
      <c r="F43" s="20"/>
      <c r="G43" s="20"/>
      <c r="H43" s="417"/>
      <c r="I43" s="20"/>
      <c r="J43" s="489"/>
    </row>
    <row r="44" spans="1:10" ht="27.6" customHeight="1">
      <c r="A44" s="76" t="s">
        <v>5693</v>
      </c>
      <c r="B44" s="20" t="str">
        <f>Language!A678</f>
        <v>Can the LIS record the AST method used to obtain each individual antibiotic result (e.g., Etest vs. Vitek vs. disk)?</v>
      </c>
      <c r="C44" s="423"/>
      <c r="F44" s="23">
        <f>C44</f>
        <v>0</v>
      </c>
      <c r="G44" s="18" t="str">
        <f t="shared" ref="G44" si="7">IF(F44="Yes",1,IF(F44="No",0,"'"))</f>
        <v>'</v>
      </c>
      <c r="H44" s="416"/>
      <c r="J44" s="489"/>
    </row>
    <row r="45" spans="1:10" ht="27.6" customHeight="1">
      <c r="A45" s="76"/>
      <c r="B45" s="20" t="str">
        <f>Language!A679</f>
        <v>Observe data entry into the LIS. Are individual data fields present for each of the following?</v>
      </c>
      <c r="C45" s="22"/>
      <c r="J45" s="489"/>
    </row>
    <row r="46" spans="1:10">
      <c r="A46" s="76" t="s">
        <v>5694</v>
      </c>
      <c r="B46" s="37" t="str">
        <f>Language!A680</f>
        <v>Disk diffusion zone sizes</v>
      </c>
      <c r="C46" s="514"/>
      <c r="F46" s="23">
        <f t="shared" ref="F46:F55" si="8">C46</f>
        <v>0</v>
      </c>
      <c r="G46" s="18" t="str">
        <f t="shared" ref="G46:G51" si="9">IF(F46="Yes",1,IF(F46="No",0,"'"))</f>
        <v>'</v>
      </c>
      <c r="H46" s="416"/>
      <c r="J46" s="489"/>
    </row>
    <row r="47" spans="1:10">
      <c r="A47" s="76" t="s">
        <v>5695</v>
      </c>
      <c r="B47" s="37" t="str">
        <f>Language!A681</f>
        <v>Disk diffusion interpretation (S/I/R)</v>
      </c>
      <c r="C47" s="423"/>
      <c r="F47" s="23">
        <f t="shared" si="8"/>
        <v>0</v>
      </c>
      <c r="G47" s="18" t="str">
        <f t="shared" si="9"/>
        <v>'</v>
      </c>
      <c r="H47" s="416"/>
      <c r="J47" s="489"/>
    </row>
    <row r="48" spans="1:10">
      <c r="A48" s="76" t="s">
        <v>5696</v>
      </c>
      <c r="B48" s="37" t="str">
        <f>Language!A682</f>
        <v>MIC values</v>
      </c>
      <c r="C48" s="423"/>
      <c r="F48" s="23">
        <f t="shared" si="8"/>
        <v>0</v>
      </c>
      <c r="G48" s="18" t="str">
        <f t="shared" si="9"/>
        <v>'</v>
      </c>
      <c r="H48" s="416"/>
      <c r="J48" s="489"/>
    </row>
    <row r="49" spans="1:13">
      <c r="A49" s="76" t="s">
        <v>5697</v>
      </c>
      <c r="B49" s="37" t="str">
        <f>Language!A683</f>
        <v>MIC interpretation (S/I/R)</v>
      </c>
      <c r="C49" s="423"/>
      <c r="F49" s="23">
        <f t="shared" si="8"/>
        <v>0</v>
      </c>
      <c r="G49" s="18" t="str">
        <f t="shared" si="9"/>
        <v>'</v>
      </c>
      <c r="H49" s="416"/>
      <c r="J49" s="489"/>
    </row>
    <row r="50" spans="1:13">
      <c r="A50" s="76" t="s">
        <v>5698</v>
      </c>
      <c r="B50" s="20" t="str">
        <f>Language!A684</f>
        <v>Can the LIS record MIC values to three decimal places (e.g., 0.016)?</v>
      </c>
      <c r="C50" s="423"/>
      <c r="F50" s="23">
        <f t="shared" si="8"/>
        <v>0</v>
      </c>
      <c r="G50" s="18" t="str">
        <f t="shared" si="9"/>
        <v>'</v>
      </c>
      <c r="H50" s="416"/>
      <c r="J50" s="489"/>
    </row>
    <row r="51" spans="1:13" ht="27.6">
      <c r="A51" s="76" t="s">
        <v>5699</v>
      </c>
      <c r="B51" s="20" t="str">
        <f>Language!A685</f>
        <v xml:space="preserve">Can the LIS suppress (hide) an individual antibiotic result from the patient report without deleting it from the database (for cascade reporting)? </v>
      </c>
      <c r="C51" s="423"/>
      <c r="F51" s="23">
        <f t="shared" si="8"/>
        <v>0</v>
      </c>
      <c r="G51" s="18" t="str">
        <f t="shared" si="9"/>
        <v>'</v>
      </c>
      <c r="H51" s="416"/>
      <c r="J51" s="489"/>
    </row>
    <row r="52" spans="1:13" s="486" customFormat="1" ht="27.6" customHeight="1">
      <c r="A52" s="145" t="s">
        <v>5700</v>
      </c>
      <c r="B52" s="127" t="str">
        <f>Language!A686</f>
        <v>Does the LIS software automatically interpret zone sizes into Susceptible, Intermediate, Resistant?</v>
      </c>
      <c r="C52" s="426"/>
      <c r="D52" s="194"/>
      <c r="E52" s="194"/>
      <c r="F52" s="23">
        <f t="shared" si="8"/>
        <v>0</v>
      </c>
      <c r="G52" s="18"/>
      <c r="H52" s="416"/>
      <c r="I52" s="489"/>
      <c r="J52" s="489"/>
      <c r="K52" s="194"/>
      <c r="L52" s="194"/>
      <c r="M52" s="194"/>
    </row>
    <row r="53" spans="1:13" s="486" customFormat="1">
      <c r="A53" s="145" t="s">
        <v>5701</v>
      </c>
      <c r="B53" s="127" t="str">
        <f>Language!A687</f>
        <v>Does the LIS software automatically interpret MICs into Susceptible, Intermediate, Resistant?</v>
      </c>
      <c r="C53" s="426"/>
      <c r="D53" s="194"/>
      <c r="E53" s="194"/>
      <c r="F53" s="23">
        <f t="shared" si="8"/>
        <v>0</v>
      </c>
      <c r="G53" s="18"/>
      <c r="H53" s="416"/>
      <c r="I53" s="489"/>
      <c r="J53" s="489"/>
      <c r="K53" s="194"/>
      <c r="L53" s="194"/>
      <c r="M53" s="194"/>
    </row>
    <row r="54" spans="1:13" s="486" customFormat="1" ht="27.6" customHeight="1">
      <c r="A54" s="145" t="s">
        <v>5702</v>
      </c>
      <c r="B54" s="127" t="str">
        <f>Language!A688</f>
        <v>If the LIS software automatically interprets zone sizes or MICs, are the breakpoints updated annually?</v>
      </c>
      <c r="C54" s="426"/>
      <c r="D54" s="194"/>
      <c r="E54" s="194"/>
      <c r="F54" s="23">
        <f t="shared" si="8"/>
        <v>0</v>
      </c>
      <c r="G54" s="18" t="str">
        <f t="shared" ref="G54" si="10">IF(F54="Yes",1,IF(F54="No",0,"'"))</f>
        <v>'</v>
      </c>
      <c r="H54" s="416"/>
      <c r="I54" s="15" t="str">
        <f>IF(F54="No","Red Flag","'")</f>
        <v>'</v>
      </c>
      <c r="J54" s="489"/>
      <c r="K54" s="194"/>
      <c r="L54" s="194"/>
      <c r="M54" s="194"/>
    </row>
    <row r="55" spans="1:13" s="486" customFormat="1" ht="27.6" customHeight="1">
      <c r="A55" s="145" t="s">
        <v>5703</v>
      </c>
      <c r="B55" s="127" t="str">
        <f>Language!A689</f>
        <v xml:space="preserve">If the LIS software automatically interprets zone sizes or MICs, are the breakpoints up to date today? </v>
      </c>
      <c r="C55" s="426"/>
      <c r="D55" s="194"/>
      <c r="E55" s="194"/>
      <c r="F55" s="23">
        <f t="shared" si="8"/>
        <v>0</v>
      </c>
      <c r="G55" s="18" t="str">
        <f>IF(F55="Yes",1,IF(F55="No",0,IF(F55="Don't Know",0,"'")))</f>
        <v>'</v>
      </c>
      <c r="H55" s="416"/>
      <c r="I55" s="15" t="str">
        <f>IF(F55="No","Red Flag",IF(F55="Don't know","Red Flag","'"))</f>
        <v>'</v>
      </c>
      <c r="J55" s="489"/>
      <c r="K55" s="194"/>
      <c r="L55" s="194"/>
      <c r="M55" s="194"/>
    </row>
    <row r="56" spans="1:13" ht="16.2" thickBot="1">
      <c r="A56" s="10"/>
      <c r="B56" s="20"/>
      <c r="D56" s="15"/>
      <c r="E56" s="15"/>
      <c r="F56" s="15"/>
      <c r="G56" s="15"/>
      <c r="H56" s="258"/>
      <c r="J56" s="489"/>
    </row>
    <row r="57" spans="1:13" ht="16.2" thickBot="1">
      <c r="A57" s="160"/>
      <c r="B57" s="75" t="str">
        <f>Language!A690</f>
        <v>REPORTS AND DATA TRANSFER CAPABILITIES</v>
      </c>
      <c r="C57" s="47" t="str">
        <f>IF(F6="No","NA",IF(COUNTBLANK(C59:C63)=5,"???",IF(COUNT(G59:G63)=0,"NA",AVERAGE(G59:G63))))</f>
        <v>???</v>
      </c>
      <c r="E57" s="20"/>
      <c r="F57" s="20"/>
      <c r="G57" s="20"/>
      <c r="H57" s="417"/>
      <c r="I57" s="20"/>
      <c r="J57" s="489"/>
    </row>
    <row r="58" spans="1:13" ht="27.6" customHeight="1">
      <c r="A58" s="10"/>
      <c r="B58" s="87" t="str">
        <f>Language!A691</f>
        <v>(An “interface” is an electronic connection that allows information to flow automatically between different computer systems and software applications)</v>
      </c>
      <c r="C58" s="20"/>
      <c r="D58" s="20"/>
      <c r="E58" s="20"/>
      <c r="F58" s="20"/>
      <c r="G58" s="20"/>
      <c r="I58" s="20"/>
      <c r="J58" s="489"/>
    </row>
    <row r="59" spans="1:13" ht="27.6" customHeight="1">
      <c r="A59" s="118" t="s">
        <v>5704</v>
      </c>
      <c r="B59" s="20" t="str">
        <f>Language!A692</f>
        <v>Can the LIS de-duplicate data based on select criteria (e.g., patient ID, organism, specimen date)?</v>
      </c>
      <c r="C59" s="423"/>
      <c r="F59" s="23">
        <f>C59</f>
        <v>0</v>
      </c>
      <c r="G59" s="18" t="str">
        <f t="shared" ref="G59:G63" si="11">IF(F59="Yes",1,IF(F59="No",0,"'"))</f>
        <v>'</v>
      </c>
      <c r="H59" s="416"/>
      <c r="J59" s="489"/>
    </row>
    <row r="60" spans="1:13">
      <c r="A60" s="118" t="s">
        <v>5705</v>
      </c>
      <c r="B60" s="20" t="str">
        <f>Language!A693</f>
        <v>Can the LIS produce a cumulative antibiogram report?</v>
      </c>
      <c r="C60" s="423"/>
      <c r="F60" s="23">
        <f>C60</f>
        <v>0</v>
      </c>
      <c r="G60" s="18" t="str">
        <f t="shared" si="11"/>
        <v>'</v>
      </c>
      <c r="H60" s="416"/>
      <c r="J60" s="489"/>
    </row>
    <row r="61" spans="1:13">
      <c r="A61" s="118" t="s">
        <v>5706</v>
      </c>
      <c r="B61" s="20" t="str">
        <f>Language!A694</f>
        <v>Can the LIS interface with automated AST instruments (e.g., Vitek, Phoenix, SIRScan, BIOMIC)?</v>
      </c>
      <c r="C61" s="423"/>
      <c r="F61" s="23">
        <f>C61</f>
        <v>0</v>
      </c>
      <c r="G61" s="18" t="str">
        <f t="shared" si="11"/>
        <v>'</v>
      </c>
      <c r="H61" s="416"/>
      <c r="J61" s="489"/>
    </row>
    <row r="62" spans="1:13">
      <c r="A62" s="118" t="s">
        <v>5707</v>
      </c>
      <c r="B62" s="20" t="str">
        <f>Language!A695</f>
        <v>Can the LIS interface with the Hospital Information System (HIS)?</v>
      </c>
      <c r="C62" s="423"/>
      <c r="F62" s="23">
        <f>C62</f>
        <v>0</v>
      </c>
      <c r="G62" s="18" t="str">
        <f t="shared" si="11"/>
        <v>'</v>
      </c>
      <c r="H62" s="416"/>
      <c r="J62" s="489"/>
    </row>
    <row r="63" spans="1:13">
      <c r="A63" s="118" t="s">
        <v>5708</v>
      </c>
      <c r="B63" s="20" t="str">
        <f>Language!A696</f>
        <v>Can the LIS export line lists of data to .txt or .csv files?</v>
      </c>
      <c r="C63" s="423"/>
      <c r="F63" s="23">
        <f>C63</f>
        <v>0</v>
      </c>
      <c r="G63" s="18" t="str">
        <f t="shared" si="11"/>
        <v>'</v>
      </c>
      <c r="H63" s="416"/>
      <c r="J63" s="489"/>
    </row>
    <row r="64" spans="1:13" ht="16.2" thickBot="1">
      <c r="A64" s="10"/>
      <c r="B64" s="20"/>
      <c r="F64" s="23"/>
      <c r="G64" s="18"/>
      <c r="H64" s="490"/>
      <c r="J64" s="489"/>
    </row>
    <row r="65" spans="1:10" ht="16.2" thickBot="1">
      <c r="A65" s="160"/>
      <c r="B65" s="75" t="str">
        <f>Language!A697</f>
        <v>INTERFACE CONNECTIVITY</v>
      </c>
      <c r="C65" s="47" t="str">
        <f>IF(F6="No","NA",IF(COUNTBLANK(C67:C75)=9,"???",IF(COUNT(G67:G75)=0,"NA",AVERAGE(G67:G75))))</f>
        <v>???</v>
      </c>
      <c r="E65" s="20"/>
      <c r="F65" s="20"/>
      <c r="G65" s="20"/>
      <c r="H65" s="417"/>
      <c r="I65" s="20"/>
      <c r="J65" s="489"/>
    </row>
    <row r="66" spans="1:10" ht="27.6" customHeight="1">
      <c r="A66" s="10"/>
      <c r="B66" s="87" t="str">
        <f>Language!A698</f>
        <v>(An “interface” is an electronic connection that allows information to flow automatically between different computer systems and software applications)</v>
      </c>
      <c r="C66" s="20"/>
      <c r="D66" s="20"/>
      <c r="E66" s="20"/>
      <c r="F66" s="20"/>
      <c r="G66" s="20"/>
      <c r="I66" s="20"/>
      <c r="J66" s="489"/>
    </row>
    <row r="67" spans="1:10" ht="27.6" customHeight="1">
      <c r="A67" s="76" t="s">
        <v>5709</v>
      </c>
      <c r="B67" s="20" t="str">
        <f>Language!A699</f>
        <v>If the lab uses an automated AST instrument, describe the data flow between the LIS and the instrument software.</v>
      </c>
      <c r="C67" s="423"/>
      <c r="F67" s="23">
        <f>C67</f>
        <v>0</v>
      </c>
      <c r="G67" s="18" t="str">
        <f>IF(F67=2,1,IF(F67=3,0.5,IF(F67=4,0.5,IF(F67=1,0,"'"))))</f>
        <v>'</v>
      </c>
      <c r="H67" s="416"/>
      <c r="J67" s="489"/>
    </row>
    <row r="68" spans="1:10">
      <c r="A68" s="10"/>
      <c r="B68" s="439" t="str">
        <f>Language!A700</f>
        <v>1: Systems are not currently interfaced</v>
      </c>
      <c r="C68" s="21"/>
      <c r="D68" s="21"/>
      <c r="E68" s="21"/>
      <c r="F68" s="21"/>
      <c r="G68" s="21"/>
      <c r="J68" s="489"/>
    </row>
    <row r="69" spans="1:10" ht="41.55" customHeight="1">
      <c r="A69" s="10"/>
      <c r="B69" s="439" t="str">
        <f>Language!A701</f>
        <v>2: Bidirectional: Patient information (e.g., medical record number, specimen number, specimen type) flows from the LIS into the instrument software, AND results (ID and AST) flow from the instrument software back into the LIS.</v>
      </c>
      <c r="C69" s="21"/>
      <c r="D69" s="21"/>
      <c r="E69" s="21"/>
      <c r="F69" s="21"/>
      <c r="G69" s="21"/>
      <c r="J69" s="489"/>
    </row>
    <row r="70" spans="1:10" ht="27.6" customHeight="1">
      <c r="A70" s="10"/>
      <c r="B70" s="439" t="str">
        <f>Language!A702</f>
        <v>3: Uni-directional: Patient information flows from the LIS into the instrument software, but results do not transmit back into the LIS</v>
      </c>
      <c r="C70" s="21"/>
      <c r="D70" s="21"/>
      <c r="E70" s="21"/>
      <c r="F70" s="21"/>
      <c r="G70" s="21"/>
      <c r="J70" s="489"/>
    </row>
    <row r="71" spans="1:10" ht="27.6" customHeight="1">
      <c r="A71" s="10"/>
      <c r="B71" s="439" t="str">
        <f>Language!A703</f>
        <v>4: Uni-directional: Results transmit from the instrument software into the LIS, but patient information cannot flow from the LIS into the instrument software.</v>
      </c>
      <c r="C71" s="21"/>
      <c r="D71" s="21"/>
      <c r="E71" s="21"/>
      <c r="F71" s="21"/>
      <c r="G71" s="21"/>
      <c r="J71" s="489"/>
    </row>
    <row r="72" spans="1:10">
      <c r="A72" s="10"/>
      <c r="B72" s="439" t="str">
        <f>Language!A704</f>
        <v>NA: no automated instruments</v>
      </c>
      <c r="C72" s="25"/>
      <c r="J72" s="489"/>
    </row>
    <row r="73" spans="1:10">
      <c r="A73" s="76" t="s">
        <v>5710</v>
      </c>
      <c r="B73" s="20" t="str">
        <f>Language!A705</f>
        <v xml:space="preserve">Does the hospital use a Hospital Information System (HIS) or Electronic Medical Record (EMR)? </v>
      </c>
      <c r="C73" s="423"/>
      <c r="F73" s="23">
        <f>C73</f>
        <v>0</v>
      </c>
      <c r="G73" s="18" t="str">
        <f t="shared" ref="G73" si="12">IF(F73="Yes",1,IF(F73="No",0,"'"))</f>
        <v>'</v>
      </c>
      <c r="H73" s="416"/>
      <c r="I73" s="18" t="str">
        <f>IF(C73="No","System Flag","'")</f>
        <v>'</v>
      </c>
      <c r="J73" s="489"/>
    </row>
    <row r="74" spans="1:10">
      <c r="A74" s="10"/>
      <c r="B74" s="439" t="str">
        <f>Language!A706</f>
        <v>If yes, please record system name in comments</v>
      </c>
      <c r="J74" s="489"/>
    </row>
    <row r="75" spans="1:10">
      <c r="A75" s="76" t="s">
        <v>5711</v>
      </c>
      <c r="B75" s="20" t="str">
        <f>Language!A707</f>
        <v>If the LIS and HIS/EMR are interfaced, describe the data flow between the LIS and the HIS/EMR</v>
      </c>
      <c r="C75" s="423"/>
      <c r="F75" s="23">
        <f>C75</f>
        <v>0</v>
      </c>
      <c r="G75" s="18" t="str">
        <f>IF(F75=2,1,IF(F75=3,0.5,IF(F75=4,0.5,IF(F75=1,0,"'"))))</f>
        <v>'</v>
      </c>
      <c r="H75" s="416"/>
      <c r="J75" s="489"/>
    </row>
    <row r="76" spans="1:10">
      <c r="A76" s="10"/>
      <c r="B76" s="439" t="str">
        <f>Language!A708</f>
        <v>1: Systems are not interfaced</v>
      </c>
      <c r="C76" s="21"/>
      <c r="D76" s="21"/>
      <c r="E76" s="21"/>
      <c r="F76" s="21"/>
      <c r="G76" s="21"/>
    </row>
    <row r="77" spans="1:10" ht="41.55" customHeight="1">
      <c r="A77" s="10"/>
      <c r="B77" s="439" t="str">
        <f>Language!A709</f>
        <v xml:space="preserve">2: Bidirectional: Patient information (e.g., demographics, lab orders) flows from the HIS into the LIS, AND patient microbiology (ID/AST) results flow from the LIS back into the HIS. </v>
      </c>
      <c r="C77" s="21"/>
      <c r="D77" s="21"/>
      <c r="E77" s="21"/>
      <c r="F77" s="21"/>
      <c r="G77" s="21"/>
    </row>
    <row r="78" spans="1:10" ht="27.6" customHeight="1">
      <c r="A78" s="10"/>
      <c r="B78" s="439" t="str">
        <f>Language!A710</f>
        <v xml:space="preserve">3: Uni-directional: Patient demographics transmit from the HIS into the LIS, but patient results do not transmit back into the HIS </v>
      </c>
      <c r="C78" s="21"/>
      <c r="D78" s="21"/>
      <c r="E78" s="21"/>
      <c r="F78" s="21"/>
      <c r="G78" s="21"/>
    </row>
    <row r="79" spans="1:10" ht="27.6" customHeight="1">
      <c r="A79" s="10"/>
      <c r="B79" s="439" t="str">
        <f>Language!A711</f>
        <v xml:space="preserve">4: Uni-directional: Patient results transmit from the LIS into the HIS, but patient demographics cannot transmit from the HIS into the LIS. </v>
      </c>
      <c r="C79" s="21"/>
      <c r="D79" s="21"/>
      <c r="E79" s="21"/>
      <c r="F79" s="21"/>
      <c r="G79" s="21"/>
    </row>
    <row r="80" spans="1:10">
      <c r="A80" s="10"/>
      <c r="B80" s="439" t="str">
        <f>Language!A712</f>
        <v xml:space="preserve">NA: no LIS or no HIS </v>
      </c>
      <c r="C80" s="21"/>
      <c r="D80" s="21"/>
      <c r="E80" s="21"/>
      <c r="F80" s="21"/>
      <c r="G80" s="21"/>
    </row>
    <row r="81" spans="1:13">
      <c r="A81" s="493"/>
      <c r="B81" s="22"/>
      <c r="C81" s="22"/>
      <c r="H81" s="259"/>
    </row>
    <row r="82" spans="1:13">
      <c r="A82" s="493"/>
      <c r="B82" s="22"/>
      <c r="C82" s="22"/>
      <c r="H82" s="259"/>
    </row>
    <row r="83" spans="1:13">
      <c r="A83" s="493"/>
      <c r="B83" s="22"/>
      <c r="C83" s="22"/>
      <c r="H83" s="259"/>
    </row>
    <row r="84" spans="1:13">
      <c r="A84" s="493"/>
      <c r="B84" s="22"/>
      <c r="C84" s="22"/>
      <c r="H84" s="259"/>
    </row>
    <row r="91" spans="1:13" s="15" customFormat="1">
      <c r="A91" s="6"/>
      <c r="B91" s="22"/>
      <c r="D91" s="22"/>
      <c r="E91" s="22"/>
      <c r="F91" s="22"/>
      <c r="G91" s="22"/>
      <c r="H91" s="257"/>
      <c r="I91" s="22"/>
      <c r="J91" s="194"/>
      <c r="K91" s="156"/>
      <c r="L91" s="156"/>
      <c r="M91" s="156"/>
    </row>
  </sheetData>
  <sheetProtection algorithmName="SHA-256" hashValue="pUBHIVDLHsfdDNS1wgu32yOxAufD9AX6skthuVkacus=" saltValue="979XuLhkp0XZ38iP7UlJfQ==" spinCount="100000" sheet="1" selectLockedCells="1"/>
  <dataConsolidate/>
  <phoneticPr fontId="45" type="noConversion"/>
  <conditionalFormatting sqref="C5">
    <cfRule type="cellIs" dxfId="1345" priority="164" stopIfTrue="1" operator="lessThan">
      <formula>0.5</formula>
    </cfRule>
    <cfRule type="cellIs" dxfId="1344" priority="162" stopIfTrue="1" operator="greaterThanOrEqual">
      <formula>0.8</formula>
    </cfRule>
    <cfRule type="cellIs" dxfId="1343" priority="163" stopIfTrue="1" operator="between">
      <formula>0.5</formula>
      <formula>0.799</formula>
    </cfRule>
  </conditionalFormatting>
  <conditionalFormatting sqref="C18">
    <cfRule type="cellIs" dxfId="1342" priority="52" stopIfTrue="1" operator="lessThan">
      <formula>0.5</formula>
    </cfRule>
    <cfRule type="cellIs" dxfId="1341" priority="51" stopIfTrue="1" operator="between">
      <formula>0.5</formula>
      <formula>0.799</formula>
    </cfRule>
    <cfRule type="cellIs" dxfId="1340" priority="50" stopIfTrue="1" operator="greaterThanOrEqual">
      <formula>0.8</formula>
    </cfRule>
  </conditionalFormatting>
  <conditionalFormatting sqref="C29">
    <cfRule type="cellIs" dxfId="1339" priority="79" stopIfTrue="1" operator="lessThan">
      <formula>0.5</formula>
    </cfRule>
    <cfRule type="cellIs" dxfId="1338" priority="78" stopIfTrue="1" operator="between">
      <formula>0.5</formula>
      <formula>0.799</formula>
    </cfRule>
    <cfRule type="cellIs" dxfId="1337" priority="77" stopIfTrue="1" operator="greaterThanOrEqual">
      <formula>0.8</formula>
    </cfRule>
  </conditionalFormatting>
  <conditionalFormatting sqref="C43">
    <cfRule type="cellIs" dxfId="1336" priority="161" stopIfTrue="1" operator="lessThan">
      <formula>0.5</formula>
    </cfRule>
    <cfRule type="cellIs" dxfId="1335" priority="160" stopIfTrue="1" operator="between">
      <formula>0.5</formula>
      <formula>0.799</formula>
    </cfRule>
    <cfRule type="cellIs" dxfId="1334" priority="159" stopIfTrue="1" operator="greaterThanOrEqual">
      <formula>0.8</formula>
    </cfRule>
  </conditionalFormatting>
  <conditionalFormatting sqref="C57">
    <cfRule type="cellIs" dxfId="1333" priority="156" stopIfTrue="1" operator="greaterThanOrEqual">
      <formula>0.8</formula>
    </cfRule>
    <cfRule type="cellIs" dxfId="1332" priority="158" stopIfTrue="1" operator="lessThan">
      <formula>0.5</formula>
    </cfRule>
    <cfRule type="cellIs" dxfId="1331" priority="157" stopIfTrue="1" operator="between">
      <formula>0.5</formula>
      <formula>0.799</formula>
    </cfRule>
  </conditionalFormatting>
  <conditionalFormatting sqref="C65">
    <cfRule type="cellIs" dxfId="1330" priority="154" stopIfTrue="1" operator="between">
      <formula>0.5</formula>
      <formula>0.799</formula>
    </cfRule>
    <cfRule type="cellIs" dxfId="1329" priority="153" stopIfTrue="1" operator="greaterThanOrEqual">
      <formula>0.8</formula>
    </cfRule>
    <cfRule type="cellIs" dxfId="1328" priority="155" stopIfTrue="1" operator="lessThan">
      <formula>0.5</formula>
    </cfRule>
  </conditionalFormatting>
  <conditionalFormatting sqref="G6">
    <cfRule type="containsText" dxfId="1327" priority="28" stopIfTrue="1" operator="containsText" text="RED FLAG">
      <formula>NOT(ISERROR(SEARCH("RED FLAG",G6)))</formula>
    </cfRule>
  </conditionalFormatting>
  <conditionalFormatting sqref="G6:G7">
    <cfRule type="cellIs" dxfId="1326" priority="29" stopIfTrue="1" operator="lessThan">
      <formula>0.5</formula>
    </cfRule>
    <cfRule type="cellIs" dxfId="1325" priority="30" stopIfTrue="1" operator="between">
      <formula>0.5</formula>
      <formula>0.75</formula>
    </cfRule>
    <cfRule type="cellIs" dxfId="1324" priority="31" stopIfTrue="1" operator="greaterThan">
      <formula>0.75</formula>
    </cfRule>
  </conditionalFormatting>
  <conditionalFormatting sqref="G9:G15">
    <cfRule type="containsText" dxfId="1323" priority="24" stopIfTrue="1" operator="containsText" text="RED FLAG">
      <formula>NOT(ISERROR(SEARCH("RED FLAG",G9)))</formula>
    </cfRule>
  </conditionalFormatting>
  <conditionalFormatting sqref="G9:G16">
    <cfRule type="cellIs" dxfId="1322" priority="26" stopIfTrue="1" operator="between">
      <formula>0.5</formula>
      <formula>0.75</formula>
    </cfRule>
    <cfRule type="cellIs" dxfId="1321" priority="25" stopIfTrue="1" operator="lessThan">
      <formula>0.5</formula>
    </cfRule>
    <cfRule type="cellIs" dxfId="1320" priority="27" stopIfTrue="1" operator="greaterThan">
      <formula>0.75</formula>
    </cfRule>
  </conditionalFormatting>
  <conditionalFormatting sqref="G20:G27">
    <cfRule type="containsText" dxfId="1319" priority="20" stopIfTrue="1" operator="containsText" text="RED FLAG">
      <formula>NOT(ISERROR(SEARCH("RED FLAG",G20)))</formula>
    </cfRule>
  </conditionalFormatting>
  <conditionalFormatting sqref="G20:G28">
    <cfRule type="cellIs" dxfId="1318" priority="21" stopIfTrue="1" operator="lessThan">
      <formula>0.5</formula>
    </cfRule>
    <cfRule type="cellIs" dxfId="1317" priority="23" stopIfTrue="1" operator="greaterThan">
      <formula>0.75</formula>
    </cfRule>
    <cfRule type="cellIs" dxfId="1316" priority="22" stopIfTrue="1" operator="between">
      <formula>0.5</formula>
      <formula>0.75</formula>
    </cfRule>
  </conditionalFormatting>
  <conditionalFormatting sqref="G32:G41">
    <cfRule type="containsText" dxfId="1315" priority="16" stopIfTrue="1" operator="containsText" text="RED FLAG">
      <formula>NOT(ISERROR(SEARCH("RED FLAG",G32)))</formula>
    </cfRule>
    <cfRule type="cellIs" dxfId="1314" priority="17" stopIfTrue="1" operator="lessThan">
      <formula>0.5</formula>
    </cfRule>
    <cfRule type="cellIs" dxfId="1313" priority="18" stopIfTrue="1" operator="between">
      <formula>0.5</formula>
      <formula>0.75</formula>
    </cfRule>
    <cfRule type="cellIs" dxfId="1312" priority="19" stopIfTrue="1" operator="greaterThan">
      <formula>0.75</formula>
    </cfRule>
  </conditionalFormatting>
  <conditionalFormatting sqref="G44 G46:G51 G54:G55">
    <cfRule type="containsText" dxfId="1311" priority="12" stopIfTrue="1" operator="containsText" text="RED FLAG">
      <formula>NOT(ISERROR(SEARCH("RED FLAG",G44)))</formula>
    </cfRule>
  </conditionalFormatting>
  <conditionalFormatting sqref="G44 G46:G55">
    <cfRule type="cellIs" dxfId="1310" priority="14" stopIfTrue="1" operator="between">
      <formula>0.5</formula>
      <formula>0.75</formula>
    </cfRule>
    <cfRule type="cellIs" dxfId="1309" priority="13" stopIfTrue="1" operator="lessThan">
      <formula>0.5</formula>
    </cfRule>
    <cfRule type="cellIs" dxfId="1308" priority="15" stopIfTrue="1" operator="greaterThan">
      <formula>0.75</formula>
    </cfRule>
  </conditionalFormatting>
  <conditionalFormatting sqref="G59:G63">
    <cfRule type="containsText" dxfId="1307" priority="8" stopIfTrue="1" operator="containsText" text="RED FLAG">
      <formula>NOT(ISERROR(SEARCH("RED FLAG",G59)))</formula>
    </cfRule>
  </conditionalFormatting>
  <conditionalFormatting sqref="G59:G64">
    <cfRule type="cellIs" dxfId="1306" priority="10" stopIfTrue="1" operator="between">
      <formula>0.5</formula>
      <formula>0.75</formula>
    </cfRule>
    <cfRule type="cellIs" dxfId="1305" priority="9" stopIfTrue="1" operator="lessThan">
      <formula>0.5</formula>
    </cfRule>
    <cfRule type="cellIs" dxfId="1304" priority="11" stopIfTrue="1" operator="greaterThan">
      <formula>0.75</formula>
    </cfRule>
  </conditionalFormatting>
  <conditionalFormatting sqref="G67">
    <cfRule type="cellIs" dxfId="1303" priority="224" stopIfTrue="1" operator="lessThan">
      <formula>0.5</formula>
    </cfRule>
    <cfRule type="cellIs" dxfId="1302" priority="225" stopIfTrue="1" operator="between">
      <formula>0.5</formula>
      <formula>0.75</formula>
    </cfRule>
    <cfRule type="cellIs" dxfId="1301" priority="226" stopIfTrue="1" operator="greaterThan">
      <formula>0.75</formula>
    </cfRule>
  </conditionalFormatting>
  <conditionalFormatting sqref="G69">
    <cfRule type="cellIs" dxfId="1300" priority="314" stopIfTrue="1" operator="lessThan">
      <formula>0.5</formula>
    </cfRule>
    <cfRule type="cellIs" dxfId="1299" priority="315" stopIfTrue="1" operator="between">
      <formula>0.5</formula>
      <formula>0.75</formula>
    </cfRule>
    <cfRule type="cellIs" dxfId="1298" priority="316" stopIfTrue="1" operator="greaterThan">
      <formula>0.75</formula>
    </cfRule>
  </conditionalFormatting>
  <conditionalFormatting sqref="G73">
    <cfRule type="containsText" dxfId="1297" priority="4" stopIfTrue="1" operator="containsText" text="RED FLAG">
      <formula>NOT(ISERROR(SEARCH("RED FLAG",G73)))</formula>
    </cfRule>
    <cfRule type="cellIs" dxfId="1296" priority="5" stopIfTrue="1" operator="lessThan">
      <formula>0.5</formula>
    </cfRule>
    <cfRule type="cellIs" dxfId="1295" priority="6" stopIfTrue="1" operator="between">
      <formula>0.5</formula>
      <formula>0.75</formula>
    </cfRule>
    <cfRule type="cellIs" dxfId="1294" priority="7" stopIfTrue="1" operator="greaterThan">
      <formula>0.75</formula>
    </cfRule>
  </conditionalFormatting>
  <conditionalFormatting sqref="G75:G76">
    <cfRule type="cellIs" dxfId="1293" priority="2" stopIfTrue="1" operator="between">
      <formula>0.5</formula>
      <formula>0.75</formula>
    </cfRule>
    <cfRule type="cellIs" dxfId="1292" priority="3" stopIfTrue="1" operator="greaterThan">
      <formula>0.75</formula>
    </cfRule>
    <cfRule type="cellIs" dxfId="1291" priority="1" stopIfTrue="1" operator="lessThan">
      <formula>0.5</formula>
    </cfRule>
  </conditionalFormatting>
  <conditionalFormatting sqref="I6">
    <cfRule type="containsText" dxfId="1290" priority="40" operator="containsText" text="System Flag">
      <formula>NOT(ISERROR(SEARCH("System Flag",I6)))</formula>
    </cfRule>
  </conditionalFormatting>
  <conditionalFormatting sqref="I54:I55">
    <cfRule type="containsText" dxfId="1289" priority="32" operator="containsText" text="Red Flag">
      <formula>NOT(ISERROR(SEARCH("Red Flag",I54)))</formula>
    </cfRule>
  </conditionalFormatting>
  <conditionalFormatting sqref="I73">
    <cfRule type="containsText" dxfId="1288" priority="39" operator="containsText" text="System Flag">
      <formula>NOT(ISERROR(SEARCH("System Flag",I73)))</formula>
    </cfRule>
  </conditionalFormatting>
  <dataValidations count="5">
    <dataValidation type="list" allowBlank="1" showInputMessage="1" showErrorMessage="1" sqref="C67 C75" xr:uid="{00000000-0002-0000-0600-000000000000}">
      <formula1>"1,2,3,4,NA"</formula1>
    </dataValidation>
    <dataValidation type="list" allowBlank="1" showInputMessage="1" showErrorMessage="1" sqref="C59:C63 C6 C20:C27 C9:C16 C46:C53 C44 C32:C41" xr:uid="{00000000-0002-0000-0600-000001000000}">
      <formula1>"Yes,No"</formula1>
    </dataValidation>
    <dataValidation type="list" allowBlank="1" showInputMessage="1" showErrorMessage="1" sqref="C73" xr:uid="{00000000-0002-0000-0600-000002000000}">
      <formula1>"Yes,No, NA"</formula1>
    </dataValidation>
    <dataValidation type="list" allowBlank="1" showInputMessage="1" showErrorMessage="1" sqref="C54" xr:uid="{00000000-0002-0000-0600-000003000000}">
      <formula1>"Yes,No,NA"</formula1>
    </dataValidation>
    <dataValidation type="list" allowBlank="1" showInputMessage="1" showErrorMessage="1" sqref="C55" xr:uid="{00000000-0002-0000-0600-000004000000}">
      <formula1>"Yes,No,Don't Know,NA"</formula1>
    </dataValidation>
  </dataValidations>
  <pageMargins left="0.25" right="0.25" top="0.75000000000000011" bottom="0.75000000000000011" header="0.30000000000000004" footer="0.30000000000000004"/>
  <pageSetup paperSize="9" scale="94" fitToHeight="6" orientation="landscape" r:id="rId1"/>
  <headerFooter>
    <oddFooter>&amp;C&amp;A -&amp;P</oddFooter>
  </headerFooter>
  <rowBreaks count="2" manualBreakCount="2">
    <brk id="28" max="4" man="1"/>
    <brk id="56"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0070C0"/>
    <pageSetUpPr fitToPage="1"/>
  </sheetPr>
  <dimension ref="A1:K113"/>
  <sheetViews>
    <sheetView zoomScaleNormal="100" zoomScaleSheetLayoutView="90" zoomScalePageLayoutView="80" workbookViewId="0">
      <selection activeCell="C5" sqref="C5"/>
    </sheetView>
  </sheetViews>
  <sheetFormatPr defaultColWidth="11" defaultRowHeight="15.6"/>
  <cols>
    <col min="1" max="1" width="4.69921875" style="6" customWidth="1"/>
    <col min="2" max="2" width="82.19921875" style="13" customWidth="1"/>
    <col min="3" max="3" width="5.19921875" style="15" customWidth="1"/>
    <col min="4" max="4" width="3.69921875" style="22" customWidth="1"/>
    <col min="5" max="5" width="3.69921875" style="22" hidden="1" customWidth="1"/>
    <col min="6" max="6" width="5.19921875" style="22" hidden="1" customWidth="1"/>
    <col min="7" max="7" width="5.19921875" style="22" customWidth="1"/>
    <col min="8" max="8" width="37.69921875" style="257" customWidth="1"/>
    <col min="9" max="9" width="9.69921875" style="22" customWidth="1"/>
    <col min="10" max="10" width="11" style="194"/>
    <col min="11" max="16384" width="11" style="22"/>
  </cols>
  <sheetData>
    <row r="1" spans="1:9">
      <c r="A1" s="10"/>
      <c r="B1" s="11" t="str">
        <f>Language!A713</f>
        <v>3- DATA MANAGEMENT</v>
      </c>
      <c r="C1" s="51" t="str">
        <f>IF(COUNT(G4:G239)=0,"???",AVERAGE(G4:G239))</f>
        <v>???</v>
      </c>
      <c r="H1" s="256" t="str">
        <f>'Facility 1'!H1</f>
        <v>Comments</v>
      </c>
    </row>
    <row r="2" spans="1:9" ht="27.6" customHeight="1">
      <c r="A2" s="10"/>
      <c r="B2" s="24" t="str">
        <f>Language!A714</f>
        <v>Please note: all questions refer only to clinical patient specimens, NOT to research specimens</v>
      </c>
    </row>
    <row r="3" spans="1:9" ht="16.2" thickBot="1">
      <c r="A3" s="10"/>
      <c r="B3" s="33"/>
    </row>
    <row r="4" spans="1:9" ht="16.2" thickBot="1">
      <c r="A4" s="160"/>
      <c r="B4" s="14" t="str">
        <f>Language!A715</f>
        <v>PATIENT AND SPECIMEN IDENTIFICATION</v>
      </c>
      <c r="C4" s="47" t="str">
        <f>IF(COUNTBLANK(C5:C11)=7,"???",IF(COUNT(G5:G11)=0,"NA",AVERAGE(G5:G11)))</f>
        <v>???</v>
      </c>
      <c r="H4" s="417"/>
    </row>
    <row r="5" spans="1:9" ht="27.6" customHeight="1">
      <c r="A5" s="10" t="s">
        <v>5712</v>
      </c>
      <c r="B5" s="8" t="str">
        <f>Language!A716</f>
        <v>Are inpatients assigned a unique patient ID number upon admission to the hospital?</v>
      </c>
      <c r="C5" s="423"/>
      <c r="F5" s="23">
        <f t="shared" ref="F5:F11" si="0">C5</f>
        <v>0</v>
      </c>
      <c r="G5" s="18" t="str">
        <f t="shared" ref="G5:G11" si="1">IF(F5="Yes",1,IF(F5="No",0,"'"))</f>
        <v>'</v>
      </c>
      <c r="H5" s="416"/>
      <c r="I5" s="18" t="str">
        <f>IF(C5="No","System Flag","'")</f>
        <v>'</v>
      </c>
    </row>
    <row r="6" spans="1:9" ht="27.6" customHeight="1">
      <c r="A6" s="10" t="s">
        <v>5713</v>
      </c>
      <c r="B6" s="8" t="str">
        <f>Language!A717</f>
        <v>Are outpatients assigned a unique patient ID number upon registration at the clinic?</v>
      </c>
      <c r="C6" s="423"/>
      <c r="F6" s="23">
        <f t="shared" si="0"/>
        <v>0</v>
      </c>
      <c r="G6" s="18" t="str">
        <f t="shared" si="1"/>
        <v>'</v>
      </c>
      <c r="H6" s="416"/>
      <c r="I6" s="18" t="str">
        <f>IF(C6="No","System Flag","'")</f>
        <v>'</v>
      </c>
    </row>
    <row r="7" spans="1:9" ht="27.6" customHeight="1">
      <c r="A7" s="10" t="s">
        <v>5714</v>
      </c>
      <c r="B7" s="8" t="str">
        <f>Language!A718</f>
        <v>Are patient ID numbers assigned in such a way that no two patients are given the same number in the course of one year?</v>
      </c>
      <c r="C7" s="423"/>
      <c r="F7" s="23">
        <f t="shared" si="0"/>
        <v>0</v>
      </c>
      <c r="G7" s="18" t="str">
        <f t="shared" si="1"/>
        <v>'</v>
      </c>
      <c r="H7" s="416"/>
      <c r="I7" s="18" t="str">
        <f>IF(C7="No","System Flag","'")</f>
        <v>'</v>
      </c>
    </row>
    <row r="8" spans="1:9">
      <c r="A8" s="10" t="s">
        <v>5715</v>
      </c>
      <c r="B8" s="8" t="str">
        <f>Language!A719</f>
        <v>Do patients retain the same patient ID number each time they are admitted to the hospital?</v>
      </c>
      <c r="C8" s="423"/>
      <c r="F8" s="23">
        <f t="shared" si="0"/>
        <v>0</v>
      </c>
      <c r="G8" s="18" t="str">
        <f t="shared" si="1"/>
        <v>'</v>
      </c>
      <c r="H8" s="416"/>
      <c r="I8" s="18" t="str">
        <f>IF(C8="No","System Flag","'")</f>
        <v>'</v>
      </c>
    </row>
    <row r="9" spans="1:9">
      <c r="A9" s="10" t="s">
        <v>5716</v>
      </c>
      <c r="B9" s="8" t="str">
        <f>Language!A720</f>
        <v>Does the laboratory use the same patient ID numbers assigned by the hospital and/or clinics?</v>
      </c>
      <c r="C9" s="423"/>
      <c r="F9" s="23">
        <f t="shared" si="0"/>
        <v>0</v>
      </c>
      <c r="G9" s="18" t="str">
        <f t="shared" si="1"/>
        <v>'</v>
      </c>
      <c r="H9" s="416"/>
      <c r="I9" s="18" t="str">
        <f>IF(C9="No","Red Flag","'")</f>
        <v>'</v>
      </c>
    </row>
    <row r="10" spans="1:9">
      <c r="A10" s="10" t="s">
        <v>5717</v>
      </c>
      <c r="B10" s="8" t="str">
        <f>Language!A721</f>
        <v>Does the laboratory assign a unique specimen ID number to each specimen received in the lab?</v>
      </c>
      <c r="C10" s="423"/>
      <c r="F10" s="23">
        <f t="shared" si="0"/>
        <v>0</v>
      </c>
      <c r="G10" s="18" t="str">
        <f t="shared" si="1"/>
        <v>'</v>
      </c>
      <c r="H10" s="416"/>
      <c r="I10" s="18" t="str">
        <f>IF(C10="No","Red Flag","'")</f>
        <v>'</v>
      </c>
    </row>
    <row r="11" spans="1:9" ht="27.6" customHeight="1">
      <c r="A11" s="10" t="s">
        <v>5718</v>
      </c>
      <c r="B11" s="8" t="str">
        <f>Language!A722</f>
        <v>Are specimen numbers assigned in such a way that no two specimens are given the same number during one year?</v>
      </c>
      <c r="C11" s="423"/>
      <c r="F11" s="23">
        <f t="shared" si="0"/>
        <v>0</v>
      </c>
      <c r="G11" s="18" t="str">
        <f t="shared" si="1"/>
        <v>'</v>
      </c>
      <c r="H11" s="416"/>
      <c r="I11" s="18" t="str">
        <f>IF(C11="No","Red Flag","'")</f>
        <v>'</v>
      </c>
    </row>
    <row r="12" spans="1:9" ht="16.2" thickBot="1">
      <c r="A12" s="10"/>
      <c r="B12" s="8"/>
      <c r="F12" s="23"/>
      <c r="G12" s="18"/>
      <c r="H12" s="258"/>
    </row>
    <row r="13" spans="1:9" ht="16.2" thickBot="1">
      <c r="A13" s="160"/>
      <c r="B13" s="73" t="str">
        <f>Language!A723</f>
        <v>SPECIMEN REQUISITION FORM</v>
      </c>
      <c r="C13" s="72" t="str">
        <f>IF(COUNTBLANK(C15:C25)=11,"???",IF(COUNT(G15:G25)=0,"NA",AVERAGE(G15:G25)))</f>
        <v>???</v>
      </c>
      <c r="D13" s="33"/>
      <c r="E13" s="33"/>
      <c r="F13" s="33"/>
      <c r="H13" s="417"/>
    </row>
    <row r="14" spans="1:9">
      <c r="A14" s="10"/>
      <c r="B14" s="127" t="str">
        <f>Language!A724</f>
        <v>Review the specimen requisition form. Does it contain each of the following data fields?</v>
      </c>
      <c r="C14" s="21"/>
      <c r="D14" s="21"/>
      <c r="E14" s="21"/>
      <c r="F14" s="21"/>
      <c r="G14" s="21"/>
    </row>
    <row r="15" spans="1:9">
      <c r="A15" s="76" t="s">
        <v>5719</v>
      </c>
      <c r="B15" s="37" t="str">
        <f>Language!A725</f>
        <v>Patient Name</v>
      </c>
      <c r="C15" s="516"/>
      <c r="D15" s="102"/>
      <c r="E15" s="102"/>
      <c r="F15" s="29">
        <f t="shared" ref="F15:F25" si="2">C15</f>
        <v>0</v>
      </c>
      <c r="G15" s="18" t="str">
        <f t="shared" ref="G15:G25" si="3">IF(F15="Yes",1,IF(F15="No",0,"'"))</f>
        <v>'</v>
      </c>
      <c r="H15" s="416"/>
    </row>
    <row r="16" spans="1:9">
      <c r="A16" s="76" t="s">
        <v>5720</v>
      </c>
      <c r="B16" s="37" t="str">
        <f>Language!A726</f>
        <v>Patient Identification Number</v>
      </c>
      <c r="C16" s="27"/>
      <c r="D16" s="102"/>
      <c r="E16" s="102"/>
      <c r="F16" s="29">
        <f t="shared" si="2"/>
        <v>0</v>
      </c>
      <c r="G16" s="18" t="str">
        <f t="shared" si="3"/>
        <v>'</v>
      </c>
      <c r="H16" s="416"/>
    </row>
    <row r="17" spans="1:11">
      <c r="A17" s="76" t="s">
        <v>5721</v>
      </c>
      <c r="B17" s="37" t="str">
        <f>Language!A727</f>
        <v>Patient Date of Birth or Age</v>
      </c>
      <c r="C17" s="27"/>
      <c r="D17" s="102"/>
      <c r="E17" s="102"/>
      <c r="F17" s="29">
        <f t="shared" si="2"/>
        <v>0</v>
      </c>
      <c r="G17" s="18" t="str">
        <f t="shared" si="3"/>
        <v>'</v>
      </c>
      <c r="H17" s="416"/>
    </row>
    <row r="18" spans="1:11">
      <c r="A18" s="76" t="s">
        <v>5722</v>
      </c>
      <c r="B18" s="37" t="str">
        <f>Language!A728</f>
        <v>Patient Location (Ward or unit at time of specimen collection, e.g., "ICU")</v>
      </c>
      <c r="C18" s="27"/>
      <c r="D18" s="102"/>
      <c r="E18" s="102"/>
      <c r="F18" s="29">
        <f t="shared" si="2"/>
        <v>0</v>
      </c>
      <c r="G18" s="18" t="str">
        <f t="shared" si="3"/>
        <v>'</v>
      </c>
      <c r="H18" s="416"/>
    </row>
    <row r="19" spans="1:11">
      <c r="A19" s="76" t="s">
        <v>5723</v>
      </c>
      <c r="B19" s="37" t="str">
        <f>Language!A729</f>
        <v>Specimen Type (e.g., Wound)</v>
      </c>
      <c r="C19" s="27"/>
      <c r="D19" s="102"/>
      <c r="E19" s="102"/>
      <c r="F19" s="29">
        <f t="shared" si="2"/>
        <v>0</v>
      </c>
      <c r="G19" s="18" t="str">
        <f t="shared" si="3"/>
        <v>'</v>
      </c>
      <c r="H19" s="416"/>
    </row>
    <row r="20" spans="1:11">
      <c r="A20" s="76" t="s">
        <v>5724</v>
      </c>
      <c r="B20" s="37" t="str">
        <f>Language!A730</f>
        <v>Specimen Source/Body Site (e.g., Arm)</v>
      </c>
      <c r="C20" s="27"/>
      <c r="D20" s="102"/>
      <c r="E20" s="102"/>
      <c r="F20" s="29">
        <f t="shared" si="2"/>
        <v>0</v>
      </c>
      <c r="G20" s="18" t="str">
        <f t="shared" si="3"/>
        <v>'</v>
      </c>
      <c r="H20" s="416"/>
    </row>
    <row r="21" spans="1:11">
      <c r="A21" s="76" t="s">
        <v>5725</v>
      </c>
      <c r="B21" s="37" t="str">
        <f>Language!A731</f>
        <v>Date of specimen collection</v>
      </c>
      <c r="C21" s="27"/>
      <c r="D21" s="102"/>
      <c r="E21" s="102"/>
      <c r="F21" s="29">
        <f t="shared" si="2"/>
        <v>0</v>
      </c>
      <c r="G21" s="18" t="str">
        <f t="shared" si="3"/>
        <v>'</v>
      </c>
      <c r="H21" s="416"/>
    </row>
    <row r="22" spans="1:11">
      <c r="A22" s="76" t="s">
        <v>5726</v>
      </c>
      <c r="B22" s="37" t="str">
        <f>Language!A732</f>
        <v>Time of specimen collection</v>
      </c>
      <c r="C22" s="27"/>
      <c r="D22" s="102"/>
      <c r="E22" s="102"/>
      <c r="F22" s="29">
        <f t="shared" si="2"/>
        <v>0</v>
      </c>
      <c r="G22" s="18" t="str">
        <f t="shared" si="3"/>
        <v>'</v>
      </c>
      <c r="H22" s="416"/>
    </row>
    <row r="23" spans="1:11">
      <c r="A23" s="76" t="s">
        <v>5727</v>
      </c>
      <c r="B23" s="37" t="str">
        <f>Language!A733</f>
        <v>Test order (e.g., culture &amp; AST)</v>
      </c>
      <c r="C23" s="27"/>
      <c r="D23" s="102"/>
      <c r="E23" s="102"/>
      <c r="F23" s="29">
        <f t="shared" si="2"/>
        <v>0</v>
      </c>
      <c r="G23" s="18" t="str">
        <f t="shared" si="3"/>
        <v>'</v>
      </c>
      <c r="H23" s="416"/>
    </row>
    <row r="24" spans="1:11">
      <c r="A24" s="76" t="s">
        <v>5728</v>
      </c>
      <c r="B24" s="37" t="str">
        <f>Language!A734</f>
        <v>Name of physician ordering the test</v>
      </c>
      <c r="C24" s="27"/>
      <c r="D24" s="102"/>
      <c r="E24" s="102"/>
      <c r="F24" s="29">
        <f t="shared" si="2"/>
        <v>0</v>
      </c>
      <c r="G24" s="18" t="str">
        <f t="shared" si="3"/>
        <v>'</v>
      </c>
      <c r="H24" s="416"/>
    </row>
    <row r="25" spans="1:11">
      <c r="A25" s="76" t="s">
        <v>5729</v>
      </c>
      <c r="B25" s="37" t="str">
        <f>Language!A735</f>
        <v>Name or initials of person collecting specimen</v>
      </c>
      <c r="C25" s="27"/>
      <c r="D25" s="102"/>
      <c r="E25" s="102"/>
      <c r="F25" s="29">
        <f t="shared" si="2"/>
        <v>0</v>
      </c>
      <c r="G25" s="18" t="str">
        <f t="shared" si="3"/>
        <v>'</v>
      </c>
      <c r="H25" s="416"/>
    </row>
    <row r="26" spans="1:11" ht="16.2" thickBot="1">
      <c r="A26" s="16"/>
      <c r="B26" s="444"/>
      <c r="C26" s="227"/>
      <c r="D26" s="487"/>
      <c r="E26" s="194"/>
      <c r="F26" s="194"/>
      <c r="G26" s="194"/>
      <c r="H26" s="444"/>
      <c r="K26" s="194"/>
    </row>
    <row r="27" spans="1:11" ht="16.2" thickBot="1">
      <c r="A27" s="160"/>
      <c r="B27" s="73" t="str">
        <f>Language!A736</f>
        <v>ORDER ENTRY</v>
      </c>
      <c r="C27" s="72" t="str">
        <f>IF(COUNTBLANK(C29:C41)=13,"???",IF(COUNT(G29:G41)=0,"NA",AVERAGE(G29:G41)))</f>
        <v>???</v>
      </c>
      <c r="D27" s="33"/>
      <c r="E27" s="33"/>
      <c r="F27" s="33"/>
      <c r="H27" s="417"/>
    </row>
    <row r="28" spans="1:11" ht="27.6" customHeight="1">
      <c r="A28" s="10"/>
      <c r="B28" s="127" t="str">
        <f>Language!A737</f>
        <v>Review the process of specimen receiving/order entry. Are each of the following variables captured in the logbook or computer system?</v>
      </c>
      <c r="C28" s="28"/>
      <c r="F28" s="29"/>
      <c r="G28" s="18"/>
    </row>
    <row r="29" spans="1:11">
      <c r="A29" s="76" t="s">
        <v>5730</v>
      </c>
      <c r="B29" s="37" t="str">
        <f>Language!A738</f>
        <v>Patient Name</v>
      </c>
      <c r="C29" s="27"/>
      <c r="F29" s="29">
        <f t="shared" ref="F29:F41" si="4">C29</f>
        <v>0</v>
      </c>
      <c r="G29" s="18" t="str">
        <f t="shared" ref="G29:G41" si="5">IF(F29="Yes",1,IF(F29="No",0,"'"))</f>
        <v>'</v>
      </c>
      <c r="H29" s="422"/>
    </row>
    <row r="30" spans="1:11">
      <c r="A30" s="76" t="s">
        <v>5731</v>
      </c>
      <c r="B30" s="37" t="str">
        <f>Language!A739</f>
        <v>Patient Identification Number</v>
      </c>
      <c r="C30" s="27"/>
      <c r="F30" s="29">
        <f t="shared" si="4"/>
        <v>0</v>
      </c>
      <c r="G30" s="18" t="str">
        <f t="shared" si="5"/>
        <v>'</v>
      </c>
      <c r="H30" s="422"/>
    </row>
    <row r="31" spans="1:11">
      <c r="A31" s="76" t="s">
        <v>5732</v>
      </c>
      <c r="B31" s="37" t="str">
        <f>Language!A740</f>
        <v>Patient Date of Birth or Age</v>
      </c>
      <c r="C31" s="27"/>
      <c r="F31" s="29">
        <f t="shared" si="4"/>
        <v>0</v>
      </c>
      <c r="G31" s="18" t="str">
        <f t="shared" si="5"/>
        <v>'</v>
      </c>
      <c r="H31" s="422"/>
    </row>
    <row r="32" spans="1:11">
      <c r="A32" s="76" t="s">
        <v>5733</v>
      </c>
      <c r="B32" s="37" t="str">
        <f>Language!A741</f>
        <v>Patient Location (Ward or unit at time of specimen collection, e.g., "ICU")</v>
      </c>
      <c r="C32" s="27"/>
      <c r="F32" s="29">
        <f t="shared" si="4"/>
        <v>0</v>
      </c>
      <c r="G32" s="18" t="str">
        <f t="shared" si="5"/>
        <v>'</v>
      </c>
      <c r="H32" s="422"/>
    </row>
    <row r="33" spans="1:8">
      <c r="A33" s="76" t="s">
        <v>5734</v>
      </c>
      <c r="B33" s="37" t="str">
        <f>Language!A742</f>
        <v>Specimen Type (e.g., Wound)</v>
      </c>
      <c r="C33" s="27"/>
      <c r="F33" s="29">
        <f t="shared" si="4"/>
        <v>0</v>
      </c>
      <c r="G33" s="18" t="str">
        <f t="shared" si="5"/>
        <v>'</v>
      </c>
      <c r="H33" s="422"/>
    </row>
    <row r="34" spans="1:8">
      <c r="A34" s="76" t="s">
        <v>5735</v>
      </c>
      <c r="B34" s="82" t="str">
        <f>Language!A743</f>
        <v>Specimen Source/Body Site (e.g., Arm)</v>
      </c>
      <c r="C34" s="27"/>
      <c r="F34" s="29">
        <f t="shared" si="4"/>
        <v>0</v>
      </c>
      <c r="G34" s="18" t="str">
        <f t="shared" si="5"/>
        <v>'</v>
      </c>
      <c r="H34" s="422"/>
    </row>
    <row r="35" spans="1:8">
      <c r="A35" s="76" t="s">
        <v>5736</v>
      </c>
      <c r="B35" s="37" t="str">
        <f>Language!A744</f>
        <v>Date of specimen collection</v>
      </c>
      <c r="C35" s="27"/>
      <c r="F35" s="29">
        <f t="shared" si="4"/>
        <v>0</v>
      </c>
      <c r="G35" s="18" t="str">
        <f t="shared" si="5"/>
        <v>'</v>
      </c>
      <c r="H35" s="422"/>
    </row>
    <row r="36" spans="1:8">
      <c r="A36" s="76" t="s">
        <v>5737</v>
      </c>
      <c r="B36" s="37" t="str">
        <f>Language!A745</f>
        <v>Time of specimen collection</v>
      </c>
      <c r="C36" s="27"/>
      <c r="F36" s="29">
        <f t="shared" si="4"/>
        <v>0</v>
      </c>
      <c r="G36" s="18" t="str">
        <f t="shared" si="5"/>
        <v>'</v>
      </c>
      <c r="H36" s="422"/>
    </row>
    <row r="37" spans="1:8">
      <c r="A37" s="76" t="s">
        <v>5738</v>
      </c>
      <c r="B37" s="37" t="str">
        <f>Language!A746</f>
        <v>Date of specimen receipt</v>
      </c>
      <c r="C37" s="27"/>
      <c r="F37" s="29">
        <f t="shared" si="4"/>
        <v>0</v>
      </c>
      <c r="G37" s="18" t="str">
        <f t="shared" si="5"/>
        <v>'</v>
      </c>
      <c r="H37" s="422"/>
    </row>
    <row r="38" spans="1:8">
      <c r="A38" s="76" t="s">
        <v>5739</v>
      </c>
      <c r="B38" s="37" t="str">
        <f>Language!A747</f>
        <v>Time of specimen receipt</v>
      </c>
      <c r="C38" s="27"/>
      <c r="F38" s="29">
        <f t="shared" si="4"/>
        <v>0</v>
      </c>
      <c r="G38" s="18" t="str">
        <f t="shared" si="5"/>
        <v>'</v>
      </c>
      <c r="H38" s="422"/>
    </row>
    <row r="39" spans="1:8">
      <c r="A39" s="76" t="s">
        <v>5740</v>
      </c>
      <c r="B39" s="82" t="str">
        <f>Language!A748</f>
        <v>Test order (e.g., culture &amp; AST)</v>
      </c>
      <c r="C39" s="27"/>
      <c r="F39" s="29">
        <f t="shared" si="4"/>
        <v>0</v>
      </c>
      <c r="G39" s="18" t="str">
        <f t="shared" si="5"/>
        <v>'</v>
      </c>
      <c r="H39" s="422"/>
    </row>
    <row r="40" spans="1:8">
      <c r="A40" s="76" t="s">
        <v>5741</v>
      </c>
      <c r="B40" s="37" t="str">
        <f>Language!A749</f>
        <v>Name of physician ordering the test</v>
      </c>
      <c r="C40" s="27"/>
      <c r="D40" s="102"/>
      <c r="E40" s="102"/>
      <c r="F40" s="29">
        <f t="shared" si="4"/>
        <v>0</v>
      </c>
      <c r="G40" s="18" t="str">
        <f t="shared" si="5"/>
        <v>'</v>
      </c>
      <c r="H40" s="416"/>
    </row>
    <row r="41" spans="1:8">
      <c r="A41" s="76" t="s">
        <v>5742</v>
      </c>
      <c r="B41" s="37" t="str">
        <f>Language!A750</f>
        <v>Name or initials of person receiving specimen</v>
      </c>
      <c r="C41" s="27"/>
      <c r="F41" s="29">
        <f t="shared" si="4"/>
        <v>0</v>
      </c>
      <c r="G41" s="18" t="str">
        <f t="shared" si="5"/>
        <v>'</v>
      </c>
      <c r="H41" s="422"/>
    </row>
    <row r="42" spans="1:8" ht="16.2" thickBot="1">
      <c r="A42" s="10"/>
      <c r="B42" s="20"/>
      <c r="C42" s="22"/>
      <c r="F42" s="29"/>
      <c r="G42" s="18"/>
      <c r="H42" s="260"/>
    </row>
    <row r="43" spans="1:8" ht="16.2" thickBot="1">
      <c r="A43" s="160"/>
      <c r="B43" s="14" t="str">
        <f>Language!A751</f>
        <v>CULTURE OBSERVATIONS</v>
      </c>
      <c r="C43" s="47" t="str">
        <f>IF(COUNTBLANK(C46:C66)=21,"???",IF(COUNT(G46:G66)=0,"NA",AVERAGE(G46:G66)))</f>
        <v>???</v>
      </c>
      <c r="H43" s="417"/>
    </row>
    <row r="44" spans="1:8" ht="27.6" customHeight="1">
      <c r="A44" s="10"/>
      <c r="B44" s="129" t="str">
        <f>Language!A752</f>
        <v>The work card is where culture observations and biochemical test results are recorded. Work cards may be paper or electronic.</v>
      </c>
      <c r="C44" s="22"/>
    </row>
    <row r="45" spans="1:8" ht="27.6" customHeight="1">
      <c r="A45" s="10"/>
      <c r="B45" s="71" t="str">
        <f>Language!A753</f>
        <v>Review the workcard of a recently completed culture. Are the following elements recorded?</v>
      </c>
      <c r="C45" s="22"/>
      <c r="H45" s="259"/>
    </row>
    <row r="46" spans="1:8">
      <c r="A46" s="10"/>
      <c r="B46" s="37" t="str">
        <f>Language!A754</f>
        <v>Gram stain of specimen (e.g., sputum Gram stain)</v>
      </c>
      <c r="C46" s="22"/>
      <c r="H46" s="259"/>
    </row>
    <row r="47" spans="1:8">
      <c r="A47" s="76" t="s">
        <v>5743</v>
      </c>
      <c r="B47" s="35" t="str">
        <f>Language!A755</f>
        <v>Quantity of Epithelial Cells per low power field</v>
      </c>
      <c r="C47" s="423"/>
      <c r="F47" s="23">
        <f t="shared" ref="F47:F60" si="6">C47</f>
        <v>0</v>
      </c>
      <c r="G47" s="18" t="str">
        <f t="shared" ref="G47:G59" si="7">IF(F47="Yes",1,IF(F47="No",0,"'"))</f>
        <v>'</v>
      </c>
      <c r="H47" s="416"/>
    </row>
    <row r="48" spans="1:8">
      <c r="A48" s="76" t="s">
        <v>5744</v>
      </c>
      <c r="B48" s="35" t="str">
        <f>Language!A756</f>
        <v>Quantity of PMNs (WBCs) per low power field</v>
      </c>
      <c r="C48" s="423"/>
      <c r="F48" s="23">
        <f t="shared" si="6"/>
        <v>0</v>
      </c>
      <c r="G48" s="18" t="str">
        <f t="shared" si="7"/>
        <v>'</v>
      </c>
      <c r="H48" s="416"/>
    </row>
    <row r="49" spans="1:8">
      <c r="A49" s="76" t="s">
        <v>5745</v>
      </c>
      <c r="B49" s="35" t="str">
        <f>Language!A757</f>
        <v>Quantity of bacterial cells per high power field</v>
      </c>
      <c r="C49" s="423"/>
      <c r="F49" s="23">
        <f t="shared" si="6"/>
        <v>0</v>
      </c>
      <c r="G49" s="18" t="str">
        <f t="shared" si="7"/>
        <v>'</v>
      </c>
      <c r="H49" s="416"/>
    </row>
    <row r="50" spans="1:8">
      <c r="A50" s="76" t="s">
        <v>5746</v>
      </c>
      <c r="B50" s="35" t="str">
        <f>Language!A758</f>
        <v>Type of bacterial cells (gram-positive cocci, gram-negative bacilli, etc.)</v>
      </c>
      <c r="C50" s="423"/>
      <c r="F50" s="23">
        <f t="shared" si="6"/>
        <v>0</v>
      </c>
      <c r="G50" s="18" t="str">
        <f t="shared" si="7"/>
        <v>'</v>
      </c>
      <c r="H50" s="416"/>
    </row>
    <row r="51" spans="1:8" ht="27.6" customHeight="1">
      <c r="A51" s="76" t="s">
        <v>5747</v>
      </c>
      <c r="B51" s="37" t="str">
        <f>Language!A759</f>
        <v>Description of colony morphologies (e.g. "mucoid lactose-fermenter" or "beta-hemolytic")</v>
      </c>
      <c r="C51" s="423"/>
      <c r="F51" s="23">
        <f t="shared" si="6"/>
        <v>0</v>
      </c>
      <c r="G51" s="18" t="str">
        <f t="shared" si="7"/>
        <v>'</v>
      </c>
      <c r="H51" s="416"/>
    </row>
    <row r="52" spans="1:8" ht="27.6" customHeight="1">
      <c r="A52" s="76" t="s">
        <v>5748</v>
      </c>
      <c r="B52" s="37" t="str">
        <f>Language!A760</f>
        <v>Description of colony quantities (e.g. "1+, 2+, 3+, 4+" or "few, moderate, many")</v>
      </c>
      <c r="C52" s="423"/>
      <c r="F52" s="23">
        <f t="shared" si="6"/>
        <v>0</v>
      </c>
      <c r="G52" s="18" t="str">
        <f t="shared" si="7"/>
        <v>'</v>
      </c>
      <c r="H52" s="416"/>
    </row>
    <row r="53" spans="1:8">
      <c r="A53" s="76" t="s">
        <v>5749</v>
      </c>
      <c r="B53" s="17" t="str">
        <f>Language!A761</f>
        <v>Gram stain of bacterial growth colonies (gram-positive cocci, gram-negative bacilli, etc.)</v>
      </c>
      <c r="C53" s="423"/>
      <c r="F53" s="23">
        <f t="shared" si="6"/>
        <v>0</v>
      </c>
      <c r="G53" s="18" t="str">
        <f t="shared" si="7"/>
        <v>'</v>
      </c>
      <c r="H53" s="416"/>
    </row>
    <row r="54" spans="1:8">
      <c r="A54" s="76" t="s">
        <v>5750</v>
      </c>
      <c r="B54" s="37" t="str">
        <f>Language!A762</f>
        <v>Biochemical test results (e.g., "catalase positive") for conventional test methods</v>
      </c>
      <c r="C54" s="423"/>
      <c r="F54" s="23">
        <f t="shared" si="6"/>
        <v>0</v>
      </c>
      <c r="G54" s="18" t="str">
        <f t="shared" si="7"/>
        <v>'</v>
      </c>
      <c r="H54" s="416"/>
    </row>
    <row r="55" spans="1:8">
      <c r="A55" s="76" t="s">
        <v>5751</v>
      </c>
      <c r="B55" s="82" t="str">
        <f>Language!A763</f>
        <v>AST Method used for each antibiotic (e.g., Disk, Etest, Instrument)</v>
      </c>
      <c r="C55" s="423"/>
      <c r="F55" s="23">
        <f t="shared" si="6"/>
        <v>0</v>
      </c>
      <c r="G55" s="18" t="str">
        <f t="shared" si="7"/>
        <v>'</v>
      </c>
      <c r="H55" s="416"/>
    </row>
    <row r="56" spans="1:8">
      <c r="A56" s="76" t="s">
        <v>5752</v>
      </c>
      <c r="B56" s="37" t="str">
        <f>Language!A764</f>
        <v>Disk diffusion zone sizes</v>
      </c>
      <c r="C56" s="423"/>
      <c r="F56" s="23">
        <f t="shared" si="6"/>
        <v>0</v>
      </c>
      <c r="G56" s="18" t="str">
        <f t="shared" si="7"/>
        <v>'</v>
      </c>
      <c r="H56" s="416"/>
    </row>
    <row r="57" spans="1:8">
      <c r="A57" s="76" t="s">
        <v>5753</v>
      </c>
      <c r="B57" s="37" t="str">
        <f>Language!A765</f>
        <v>Disk diffusion interpretation (S/I/R)</v>
      </c>
      <c r="C57" s="423"/>
      <c r="F57" s="23">
        <f t="shared" si="6"/>
        <v>0</v>
      </c>
      <c r="G57" s="18" t="str">
        <f t="shared" si="7"/>
        <v>'</v>
      </c>
      <c r="H57" s="416"/>
    </row>
    <row r="58" spans="1:8">
      <c r="A58" s="76" t="s">
        <v>5754</v>
      </c>
      <c r="B58" s="37" t="str">
        <f>Language!A766</f>
        <v>MIC values</v>
      </c>
      <c r="C58" s="423"/>
      <c r="F58" s="23">
        <f t="shared" si="6"/>
        <v>0</v>
      </c>
      <c r="G58" s="18" t="str">
        <f t="shared" si="7"/>
        <v>'</v>
      </c>
      <c r="H58" s="416"/>
    </row>
    <row r="59" spans="1:8">
      <c r="A59" s="76" t="s">
        <v>5755</v>
      </c>
      <c r="B59" s="37" t="str">
        <f>Language!A767</f>
        <v>MIC interpretation (S/I/R)</v>
      </c>
      <c r="C59" s="423"/>
      <c r="F59" s="23">
        <f t="shared" si="6"/>
        <v>0</v>
      </c>
      <c r="G59" s="18" t="str">
        <f t="shared" si="7"/>
        <v>'</v>
      </c>
      <c r="H59" s="416"/>
    </row>
    <row r="60" spans="1:8">
      <c r="A60" s="76" t="s">
        <v>5756</v>
      </c>
      <c r="B60" s="20" t="str">
        <f>Language!A768</f>
        <v>Describe the laboratory’s system for recording culture observations</v>
      </c>
      <c r="C60" s="423"/>
      <c r="F60" s="23">
        <f t="shared" si="6"/>
        <v>0</v>
      </c>
      <c r="G60" s="18" t="str">
        <f>IF(F60=1,1,IF(F60=2,0.5,IF(F60=3,0.5,IF(F60=4,0.5,IF(F60=5,0,"'")))))</f>
        <v>'</v>
      </c>
      <c r="H60" s="416"/>
    </row>
    <row r="61" spans="1:8">
      <c r="A61" s="10"/>
      <c r="B61" s="439" t="str">
        <f>Language!A769</f>
        <v>1: Laboratory Information System (LIS)</v>
      </c>
    </row>
    <row r="62" spans="1:8">
      <c r="A62" s="10"/>
      <c r="B62" s="439" t="str">
        <f>Language!A770</f>
        <v>2: Fully electronic, but non-LIS (e.g., Word, Excel)</v>
      </c>
    </row>
    <row r="63" spans="1:8">
      <c r="A63" s="10"/>
      <c r="B63" s="439" t="str">
        <f>Language!A771</f>
        <v>3: Handwritten on a paper work card (e.g., the back of the specimen requisition) or in a logbook</v>
      </c>
    </row>
    <row r="64" spans="1:8">
      <c r="A64" s="10"/>
      <c r="B64" s="439" t="str">
        <f>Language!A772</f>
        <v>4: Combination of handwritten and electronic recording</v>
      </c>
    </row>
    <row r="65" spans="1:10">
      <c r="A65" s="10"/>
      <c r="B65" s="439" t="str">
        <f>Language!A773</f>
        <v>5: Internal results are not routinely recorded</v>
      </c>
      <c r="J65" s="494"/>
    </row>
    <row r="66" spans="1:10" ht="27.6" customHeight="1">
      <c r="A66" s="232" t="s">
        <v>5757</v>
      </c>
      <c r="B66" s="20" t="str">
        <f>Language!A774</f>
        <v>Are culture observations/work cards retained for a defined time period (at least one year)?</v>
      </c>
      <c r="C66" s="423"/>
      <c r="F66" s="23">
        <f>C66</f>
        <v>0</v>
      </c>
      <c r="G66" s="18" t="str">
        <f t="shared" ref="G66" si="8">IF(F66="Yes",1,IF(F66="No",0,"'"))</f>
        <v>'</v>
      </c>
      <c r="H66" s="416"/>
      <c r="J66" s="494"/>
    </row>
    <row r="67" spans="1:10" ht="16.2" thickBot="1">
      <c r="A67" s="10"/>
      <c r="B67" s="8"/>
      <c r="F67" s="23"/>
      <c r="G67" s="18"/>
    </row>
    <row r="68" spans="1:10" ht="16.2" thickBot="1">
      <c r="A68" s="160"/>
      <c r="B68" s="75" t="str">
        <f>Language!A775</f>
        <v>AST RESULTS REPORTING</v>
      </c>
      <c r="C68" s="47" t="str">
        <f>IF(COUNTBLANK(C69:C78)=10,"???",IF(COUNT(G69:G78)=0,"NA",AVERAGE(G69:G78)))</f>
        <v>???</v>
      </c>
      <c r="E68" s="20"/>
      <c r="F68" s="20"/>
      <c r="G68" s="20"/>
      <c r="H68" s="417"/>
      <c r="I68" s="20"/>
    </row>
    <row r="69" spans="1:10">
      <c r="A69" s="76" t="s">
        <v>5758</v>
      </c>
      <c r="B69" s="8" t="str">
        <f>Language!A776</f>
        <v>Describe the laboratory’s system for reporting AST results to the physician/client</v>
      </c>
      <c r="C69" s="423"/>
      <c r="F69" s="23">
        <f>C69</f>
        <v>0</v>
      </c>
      <c r="G69" s="18" t="str">
        <f>IF(F69=1,1,IF(F69=2,0.75,IF(F69=3,0.5,"'")))</f>
        <v>'</v>
      </c>
      <c r="H69" s="416"/>
    </row>
    <row r="70" spans="1:10">
      <c r="A70" s="10"/>
      <c r="B70" s="439" t="str">
        <f>Language!A777</f>
        <v>1: Fully electronic system – physician does not receive a paper report from the lab</v>
      </c>
      <c r="H70" s="416"/>
    </row>
    <row r="71" spans="1:10">
      <c r="A71" s="10"/>
      <c r="B71" s="439" t="str">
        <f>Language!A778</f>
        <v>2: Combination of paper and electronic reporting</v>
      </c>
      <c r="H71" s="416"/>
    </row>
    <row r="72" spans="1:10">
      <c r="A72" s="10"/>
      <c r="B72" s="439" t="str">
        <f>Language!A779</f>
        <v>3: Fully paper-based system</v>
      </c>
      <c r="H72" s="416"/>
    </row>
    <row r="73" spans="1:10" ht="27.6" customHeight="1">
      <c r="A73" s="76" t="s">
        <v>5759</v>
      </c>
      <c r="B73" s="8" t="str">
        <f>Language!A780</f>
        <v>If AST results are fully or partially issued to physicians on paper, please describe that system.</v>
      </c>
      <c r="C73" s="423"/>
      <c r="F73" s="23">
        <f>C73</f>
        <v>0</v>
      </c>
      <c r="G73" s="18" t="str">
        <f>IF(F73=1,1,IF(F73=2,0.5,IF(F73=3,0.5,"'")))</f>
        <v>'</v>
      </c>
      <c r="H73" s="416"/>
    </row>
    <row r="74" spans="1:10">
      <c r="A74" s="10"/>
      <c r="B74" s="439" t="str">
        <f>Language!A781</f>
        <v>1: Printout from the Laboratory Information System</v>
      </c>
      <c r="H74" s="416"/>
    </row>
    <row r="75" spans="1:10">
      <c r="A75" s="10"/>
      <c r="B75" s="439" t="str">
        <f>Language!A782</f>
        <v>2: Printout from the ID/AST instrument (e.g., Vitek, Phoenix, etc.)</v>
      </c>
      <c r="H75" s="416"/>
    </row>
    <row r="76" spans="1:10">
      <c r="A76" s="10"/>
      <c r="B76" s="439" t="str">
        <f>Language!A783</f>
        <v>3: Printout from a non-LIS computer program (e.g., Word, Excel)</v>
      </c>
      <c r="H76" s="416"/>
    </row>
    <row r="77" spans="1:10">
      <c r="A77" s="10"/>
      <c r="B77" s="439" t="str">
        <f>Language!A784</f>
        <v>4: Primarily hand-written onto a paper form</v>
      </c>
      <c r="C77" s="20"/>
      <c r="E77" s="20"/>
      <c r="F77" s="20"/>
      <c r="G77" s="20"/>
      <c r="H77" s="416"/>
      <c r="I77" s="20"/>
    </row>
    <row r="78" spans="1:10">
      <c r="A78" s="76" t="s">
        <v>5760</v>
      </c>
      <c r="B78" s="20" t="str">
        <f>Language!A785</f>
        <v>Are AST reports retained for a defined time period (at least one year)?</v>
      </c>
      <c r="C78" s="423"/>
      <c r="F78" s="23">
        <f>C78</f>
        <v>0</v>
      </c>
      <c r="G78" s="18" t="str">
        <f t="shared" ref="G78" si="9">IF(F78="Yes",1,IF(F78="No",0,"'"))</f>
        <v>'</v>
      </c>
      <c r="H78" s="416"/>
      <c r="I78" s="20"/>
    </row>
    <row r="79" spans="1:10" ht="16.2" thickBot="1">
      <c r="A79" s="10"/>
      <c r="B79" s="48"/>
      <c r="C79" s="20"/>
      <c r="E79" s="20"/>
      <c r="F79" s="20"/>
      <c r="G79" s="20"/>
      <c r="I79" s="20"/>
    </row>
    <row r="80" spans="1:10" ht="16.2" thickBot="1">
      <c r="A80" s="160"/>
      <c r="B80" s="75" t="str">
        <f>Language!A786</f>
        <v>DATA BACKUP &amp; SECURITY</v>
      </c>
      <c r="C80" s="47" t="str">
        <f>IF(COUNTBLANK(C81:C88)=8,"???",IF(COUNT(G81:G88)=0,"NA",AVERAGE(G81:G88)))</f>
        <v>???</v>
      </c>
      <c r="E80" s="20"/>
      <c r="F80" s="20"/>
      <c r="G80" s="20"/>
      <c r="H80" s="417"/>
      <c r="I80" s="20"/>
    </row>
    <row r="81" spans="1:9" ht="27.6" customHeight="1">
      <c r="A81" s="76" t="s">
        <v>5761</v>
      </c>
      <c r="B81" s="8" t="str">
        <f>Language!A787</f>
        <v xml:space="preserve">What method is used to back up the lab’s electronic patient records? </v>
      </c>
      <c r="C81" s="423"/>
      <c r="F81" s="23">
        <f>C81</f>
        <v>0</v>
      </c>
      <c r="G81" s="18" t="str">
        <f>IF(F81=1,1,IF(F81=2,0.5,IF(F81="NA","'",IF(F81=0,"'",0))))</f>
        <v>'</v>
      </c>
      <c r="H81" s="416"/>
      <c r="I81" s="180" t="str">
        <f>IF(F81=3,"Red Flag",IF(F81=4,"Red Flag","'"))</f>
        <v>'</v>
      </c>
    </row>
    <row r="82" spans="1:9" ht="27.6" customHeight="1">
      <c r="A82" s="10"/>
      <c r="B82" s="439" t="str">
        <f>Language!A788</f>
        <v>1: Facility or cloud server - 2: External hard drive, USB, or CD - 3: Internal hard drive (PC or laptop) - 4: None - NA: do not use an electronic database for patient records</v>
      </c>
    </row>
    <row r="83" spans="1:9">
      <c r="A83" s="76" t="s">
        <v>5762</v>
      </c>
      <c r="B83" s="8" t="str">
        <f>Language!A789</f>
        <v>How frequently are the lab’s electronic records backed up?</v>
      </c>
      <c r="C83" s="423"/>
      <c r="F83" s="23">
        <f>C83</f>
        <v>0</v>
      </c>
      <c r="G83" s="18" t="str">
        <f>IF(F83=1,1,IF(F83=2,0.5,IF(F83=3,0,"'")))</f>
        <v>'</v>
      </c>
      <c r="H83" s="416"/>
    </row>
    <row r="84" spans="1:9" ht="27.6" customHeight="1">
      <c r="A84" s="10"/>
      <c r="B84" s="439" t="str">
        <f>Language!A790</f>
        <v>1: Daily/Continuously - 2: Other frequency, specify in comments - 3: Never - NA: no electronic database</v>
      </c>
    </row>
    <row r="85" spans="1:9" ht="27.6" customHeight="1">
      <c r="A85" s="76" t="s">
        <v>5763</v>
      </c>
      <c r="B85" s="8" t="str">
        <f>Language!A791</f>
        <v>Does the lab or facility have a policy and/or SOP on data backup and restoration?</v>
      </c>
      <c r="C85" s="423"/>
      <c r="F85" s="23">
        <f>C85</f>
        <v>0</v>
      </c>
      <c r="G85" s="18" t="str">
        <f t="shared" ref="G85:G88" si="10">IF(F85="Yes",1,IF(F85="No",0,"'"))</f>
        <v>'</v>
      </c>
      <c r="H85" s="416"/>
    </row>
    <row r="86" spans="1:9" ht="27.6" customHeight="1">
      <c r="A86" s="76" t="s">
        <v>5764</v>
      </c>
      <c r="B86" s="8" t="str">
        <f>Language!A792</f>
        <v>Does the lab or facility have a policy and/or SOP on data security and confidentiality?</v>
      </c>
      <c r="C86" s="423"/>
      <c r="F86" s="23">
        <f>C86</f>
        <v>0</v>
      </c>
      <c r="G86" s="18" t="str">
        <f t="shared" si="10"/>
        <v>'</v>
      </c>
      <c r="H86" s="416"/>
    </row>
    <row r="87" spans="1:9">
      <c r="A87" s="76" t="s">
        <v>5765</v>
      </c>
      <c r="B87" s="71" t="str">
        <f>Language!A793</f>
        <v>Do laboratory computers have antivirus software?</v>
      </c>
      <c r="C87" s="423"/>
      <c r="F87" s="23">
        <f>C87</f>
        <v>0</v>
      </c>
      <c r="G87" s="18" t="str">
        <f t="shared" si="10"/>
        <v>'</v>
      </c>
      <c r="H87" s="416"/>
      <c r="I87" s="18" t="str">
        <f>IF(C87="No","System Flag","")</f>
        <v/>
      </c>
    </row>
    <row r="88" spans="1:9">
      <c r="A88" s="76" t="s">
        <v>5766</v>
      </c>
      <c r="B88" s="71" t="str">
        <f>Language!A794</f>
        <v>Do laboratory computers have genuine (not pirated) Operating Systems?</v>
      </c>
      <c r="C88" s="423"/>
      <c r="F88" s="23">
        <f>C88</f>
        <v>0</v>
      </c>
      <c r="G88" s="18" t="str">
        <f t="shared" si="10"/>
        <v>'</v>
      </c>
      <c r="H88" s="416"/>
      <c r="I88" s="18" t="str">
        <f>IF(C88="No","System Flag","'")</f>
        <v>'</v>
      </c>
    </row>
    <row r="89" spans="1:9" ht="16.2" thickBot="1">
      <c r="A89" s="10"/>
      <c r="B89" s="495"/>
      <c r="C89" s="20"/>
      <c r="E89" s="20"/>
      <c r="F89" s="20"/>
      <c r="G89" s="20"/>
      <c r="I89" s="20"/>
    </row>
    <row r="90" spans="1:9" ht="16.2" thickBot="1">
      <c r="A90" s="160"/>
      <c r="B90" s="75" t="str">
        <f>Language!A795</f>
        <v xml:space="preserve">AMR DATA SHARING </v>
      </c>
      <c r="C90" s="44" t="str">
        <f>IF(COUNTBLANK(C91:C113)=23,"???",IF(COUNT(G91:G113)=0,"NA",AVERAGE(G91:G113)))</f>
        <v>???</v>
      </c>
      <c r="E90" s="13"/>
      <c r="F90" s="28"/>
      <c r="G90" s="20"/>
      <c r="H90" s="417"/>
    </row>
    <row r="91" spans="1:9">
      <c r="A91" s="10"/>
      <c r="B91" s="20" t="str">
        <f>Language!A796</f>
        <v>Is the laboratory currently a member of any AMR Surveillance Systems?</v>
      </c>
    </row>
    <row r="92" spans="1:9">
      <c r="A92" s="118" t="s">
        <v>5767</v>
      </c>
      <c r="B92" s="37" t="str">
        <f>Language!A797</f>
        <v>WHO GLASS (Global Antimicrobial Resistance Surveillance System)</v>
      </c>
      <c r="C92" s="423"/>
      <c r="F92" s="23">
        <f>C92</f>
        <v>0</v>
      </c>
      <c r="H92" s="416"/>
    </row>
    <row r="93" spans="1:9">
      <c r="A93" s="118" t="s">
        <v>5768</v>
      </c>
      <c r="B93" s="37" t="str">
        <f>Language!A798</f>
        <v>Other, please describe in comments</v>
      </c>
      <c r="C93" s="423"/>
      <c r="F93" s="23">
        <f>C93</f>
        <v>0</v>
      </c>
      <c r="H93" s="416"/>
    </row>
    <row r="94" spans="1:9" ht="27.6" customHeight="1">
      <c r="A94" s="10"/>
      <c r="B94" s="20" t="str">
        <f>Language!A799</f>
        <v>Which of the following methods are currently used to submit data to the AMR surveillance network(s)?</v>
      </c>
    </row>
    <row r="95" spans="1:9" ht="27.6" customHeight="1">
      <c r="A95" s="10"/>
      <c r="B95" s="439" t="str">
        <f>Language!A800</f>
        <v>More than one may be used. If the lab does not currently participate in AMR surveillance, select NA</v>
      </c>
      <c r="C95" s="22"/>
      <c r="H95" s="259"/>
    </row>
    <row r="96" spans="1:9">
      <c r="A96" s="76" t="s">
        <v>5769</v>
      </c>
      <c r="B96" s="37" t="str">
        <f>Language!A801</f>
        <v>Lab sends paper forms to an AMR coordinator</v>
      </c>
      <c r="C96" s="423"/>
      <c r="F96" s="23">
        <f t="shared" ref="F96:F101" si="11">C96</f>
        <v>0</v>
      </c>
      <c r="G96" s="18" t="str">
        <f>IF(F96="Yes",0.25,"'")</f>
        <v>'</v>
      </c>
      <c r="H96" s="416"/>
    </row>
    <row r="97" spans="1:8">
      <c r="A97" s="76" t="s">
        <v>5770</v>
      </c>
      <c r="B97" s="37" t="str">
        <f>Language!A802</f>
        <v>Lab types data into an Excel spreadsheet</v>
      </c>
      <c r="C97" s="423"/>
      <c r="F97" s="23">
        <f t="shared" si="11"/>
        <v>0</v>
      </c>
      <c r="G97" s="18" t="str">
        <f>IF(F97="Yes",0.5,"'")</f>
        <v>'</v>
      </c>
      <c r="H97" s="416"/>
    </row>
    <row r="98" spans="1:8">
      <c r="A98" s="76" t="s">
        <v>5771</v>
      </c>
      <c r="B98" s="37" t="str">
        <f>Language!A803</f>
        <v>Lab types data into an online database</v>
      </c>
      <c r="C98" s="423"/>
      <c r="F98" s="23">
        <f t="shared" si="11"/>
        <v>0</v>
      </c>
      <c r="G98" s="18" t="str">
        <f>IF(F98="Yes",0.5,"'")</f>
        <v>'</v>
      </c>
      <c r="H98" s="416"/>
    </row>
    <row r="99" spans="1:8">
      <c r="A99" s="76" t="s">
        <v>5772</v>
      </c>
      <c r="B99" s="37" t="str">
        <f>Language!A804</f>
        <v>Lab types data into WHONET</v>
      </c>
      <c r="C99" s="423"/>
      <c r="F99" s="23">
        <f t="shared" si="11"/>
        <v>0</v>
      </c>
      <c r="G99" s="18" t="str">
        <f>IF(F99="Yes",0.75,"'")</f>
        <v>'</v>
      </c>
      <c r="H99" s="416"/>
    </row>
    <row r="100" spans="1:8">
      <c r="A100" s="76" t="s">
        <v>5773</v>
      </c>
      <c r="B100" s="37" t="str">
        <f>Language!A805</f>
        <v>Lab exports a file from the automated AST instrument</v>
      </c>
      <c r="C100" s="423"/>
      <c r="F100" s="23">
        <f t="shared" si="11"/>
        <v>0</v>
      </c>
      <c r="G100" s="18" t="str">
        <f>IF(F100="Yes",0.75,"'")</f>
        <v>'</v>
      </c>
      <c r="H100" s="416"/>
    </row>
    <row r="101" spans="1:8">
      <c r="A101" s="76" t="s">
        <v>5774</v>
      </c>
      <c r="B101" s="37" t="str">
        <f>Language!A806</f>
        <v>Lab exports a file from the LIS</v>
      </c>
      <c r="C101" s="423"/>
      <c r="F101" s="23">
        <f t="shared" si="11"/>
        <v>0</v>
      </c>
      <c r="G101" s="18" t="str">
        <f t="shared" ref="G101" si="12">IF(F101="Yes",1,IF(F101="No",0,"'"))</f>
        <v>'</v>
      </c>
      <c r="H101" s="416"/>
    </row>
    <row r="102" spans="1:8" ht="27.6" customHeight="1">
      <c r="A102" s="76"/>
      <c r="B102" s="8" t="str">
        <f>Language!A807</f>
        <v>If the lab has ever tried to use BacLink to transfer data from the LIS into WHONET, were any of the following problems encountered?</v>
      </c>
      <c r="C102" s="22"/>
      <c r="H102" s="259"/>
    </row>
    <row r="103" spans="1:8">
      <c r="A103" s="76" t="s">
        <v>5775</v>
      </c>
      <c r="B103" s="37" t="str">
        <f>Language!A808</f>
        <v>The LIS export file was missing some of the required data fields</v>
      </c>
      <c r="C103" s="423"/>
      <c r="F103" s="23">
        <f>C103</f>
        <v>0</v>
      </c>
      <c r="G103" s="18" t="str">
        <f>IF(F103="No",1,IF(F103="Yes",0,"'"))</f>
        <v>'</v>
      </c>
      <c r="H103" s="416"/>
    </row>
    <row r="104" spans="1:8">
      <c r="A104" s="76" t="s">
        <v>5776</v>
      </c>
      <c r="B104" s="37" t="str">
        <f>Language!A809</f>
        <v xml:space="preserve">The LIS export file merged/combined different data fields into a single column </v>
      </c>
      <c r="C104" s="423"/>
      <c r="F104" s="23">
        <f>C104</f>
        <v>0</v>
      </c>
      <c r="G104" s="18" t="str">
        <f t="shared" ref="G104:G107" si="13">IF(F104="No",1,IF(F104="Yes",0,"'"))</f>
        <v>'</v>
      </c>
      <c r="H104" s="416"/>
    </row>
    <row r="105" spans="1:8">
      <c r="A105" s="76" t="s">
        <v>5777</v>
      </c>
      <c r="B105" s="37" t="str">
        <f>Language!A810</f>
        <v>The LIS export file does not distinguish antibiotic results by AST method</v>
      </c>
      <c r="C105" s="423"/>
      <c r="F105" s="23">
        <f>C105</f>
        <v>0</v>
      </c>
      <c r="G105" s="18" t="str">
        <f t="shared" si="13"/>
        <v>'</v>
      </c>
      <c r="H105" s="416"/>
    </row>
    <row r="106" spans="1:8">
      <c r="A106" s="76" t="s">
        <v>5778</v>
      </c>
      <c r="B106" s="37" t="str">
        <f>Language!A811</f>
        <v>The LIS export file does not contain zone sizes or MIC values</v>
      </c>
      <c r="C106" s="423"/>
      <c r="F106" s="23">
        <f>C106</f>
        <v>0</v>
      </c>
      <c r="G106" s="18" t="str">
        <f t="shared" si="13"/>
        <v>'</v>
      </c>
      <c r="H106" s="416"/>
    </row>
    <row r="107" spans="1:8">
      <c r="A107" s="76" t="s">
        <v>5779</v>
      </c>
      <c r="B107" s="37" t="str">
        <f>Language!A812</f>
        <v>Other, please describe in comments</v>
      </c>
      <c r="C107" s="423"/>
      <c r="F107" s="23">
        <f>C107</f>
        <v>0</v>
      </c>
      <c r="G107" s="18" t="str">
        <f t="shared" si="13"/>
        <v>'</v>
      </c>
      <c r="H107" s="416"/>
    </row>
    <row r="108" spans="1:8" ht="27.6" customHeight="1">
      <c r="A108" s="76"/>
      <c r="B108" s="8" t="str">
        <f>Language!A813</f>
        <v>If the lab has ever tried to use BacLink to transfer data from the automated AST instrument into WHONET, were any of the following problems encountered?</v>
      </c>
      <c r="C108" s="22"/>
    </row>
    <row r="109" spans="1:8" ht="27.6" customHeight="1">
      <c r="A109" s="76" t="s">
        <v>5780</v>
      </c>
      <c r="B109" s="37" t="str">
        <f>Language!A814</f>
        <v>The instrument export file was missing some of the required data fields (like patient demographics)</v>
      </c>
      <c r="C109" s="423"/>
      <c r="F109" s="23">
        <f>C109</f>
        <v>0</v>
      </c>
      <c r="G109" s="18" t="str">
        <f>IF(F109="No",1,IF(F109="Yes",0,"'"))</f>
        <v>'</v>
      </c>
      <c r="H109" s="416"/>
    </row>
    <row r="110" spans="1:8" ht="27.6" customHeight="1">
      <c r="A110" s="76" t="s">
        <v>5781</v>
      </c>
      <c r="B110" s="37" t="str">
        <f>Language!A815</f>
        <v xml:space="preserve">The instrument export file merged/combined different data fields into a single column </v>
      </c>
      <c r="C110" s="423"/>
      <c r="F110" s="23">
        <f>C110</f>
        <v>0</v>
      </c>
      <c r="G110" s="18" t="str">
        <f t="shared" ref="G110:G113" si="14">IF(F110="No",1,IF(F110="Yes",0,"'"))</f>
        <v>'</v>
      </c>
      <c r="H110" s="416"/>
    </row>
    <row r="111" spans="1:8">
      <c r="A111" s="76" t="s">
        <v>5782</v>
      </c>
      <c r="B111" s="37" t="str">
        <f>Language!A816</f>
        <v>The instrument export file was missing MIC values</v>
      </c>
      <c r="C111" s="423"/>
      <c r="F111" s="23">
        <f>C111</f>
        <v>0</v>
      </c>
      <c r="G111" s="18" t="str">
        <f t="shared" si="14"/>
        <v>'</v>
      </c>
      <c r="H111" s="416"/>
    </row>
    <row r="112" spans="1:8">
      <c r="A112" s="76" t="s">
        <v>5783</v>
      </c>
      <c r="B112" s="37" t="str">
        <f>Language!A817</f>
        <v>The instrument export file was missing SIR values</v>
      </c>
      <c r="C112" s="423"/>
      <c r="F112" s="23">
        <f>C112</f>
        <v>0</v>
      </c>
      <c r="G112" s="18" t="str">
        <f t="shared" si="14"/>
        <v>'</v>
      </c>
      <c r="H112" s="416"/>
    </row>
    <row r="113" spans="1:8">
      <c r="A113" s="76" t="s">
        <v>5784</v>
      </c>
      <c r="B113" s="37" t="str">
        <f>Language!A818</f>
        <v>Other, please describe in comments</v>
      </c>
      <c r="C113" s="423"/>
      <c r="F113" s="23">
        <f>C113</f>
        <v>0</v>
      </c>
      <c r="G113" s="18" t="str">
        <f t="shared" si="14"/>
        <v>'</v>
      </c>
      <c r="H113" s="416"/>
    </row>
  </sheetData>
  <sheetProtection algorithmName="SHA-256" hashValue="7QW9uAPnt6ffWHTUKwtmw6D13fSKJHVG8/XNOhzsqSQ=" saltValue="1Z2K9WEurriRfiNvH6aZRg==" spinCount="100000" sheet="1" selectLockedCells="1"/>
  <dataConsolidate/>
  <phoneticPr fontId="45" type="noConversion"/>
  <conditionalFormatting sqref="C4">
    <cfRule type="cellIs" dxfId="1287" priority="338" stopIfTrue="1" operator="lessThan">
      <formula>0.5</formula>
    </cfRule>
    <cfRule type="cellIs" dxfId="1286" priority="337" stopIfTrue="1" operator="between">
      <formula>0.5</formula>
      <formula>0.799</formula>
    </cfRule>
    <cfRule type="cellIs" dxfId="1285" priority="336" stopIfTrue="1" operator="greaterThanOrEqual">
      <formula>0.8</formula>
    </cfRule>
  </conditionalFormatting>
  <conditionalFormatting sqref="C13">
    <cfRule type="cellIs" dxfId="1284" priority="179" stopIfTrue="1" operator="lessThan">
      <formula>0.5</formula>
    </cfRule>
    <cfRule type="cellIs" dxfId="1283" priority="178" stopIfTrue="1" operator="between">
      <formula>0.5</formula>
      <formula>0.799</formula>
    </cfRule>
    <cfRule type="cellIs" dxfId="1282" priority="177" stopIfTrue="1" operator="greaterThanOrEqual">
      <formula>0.8</formula>
    </cfRule>
  </conditionalFormatting>
  <conditionalFormatting sqref="C27">
    <cfRule type="cellIs" dxfId="1281" priority="107" stopIfTrue="1" operator="lessThan">
      <formula>0.5</formula>
    </cfRule>
    <cfRule type="cellIs" dxfId="1280" priority="105" stopIfTrue="1" operator="greaterThanOrEqual">
      <formula>0.8</formula>
    </cfRule>
    <cfRule type="cellIs" dxfId="1279" priority="106" stopIfTrue="1" operator="between">
      <formula>0.5</formula>
      <formula>0.799</formula>
    </cfRule>
  </conditionalFormatting>
  <conditionalFormatting sqref="C43">
    <cfRule type="cellIs" dxfId="1278" priority="204" stopIfTrue="1" operator="lessThan">
      <formula>0.5</formula>
    </cfRule>
    <cfRule type="cellIs" dxfId="1277" priority="203" stopIfTrue="1" operator="between">
      <formula>0.5</formula>
      <formula>0.799</formula>
    </cfRule>
    <cfRule type="cellIs" dxfId="1276" priority="202" stopIfTrue="1" operator="greaterThanOrEqual">
      <formula>0.8</formula>
    </cfRule>
  </conditionalFormatting>
  <conditionalFormatting sqref="C68">
    <cfRule type="cellIs" dxfId="1275" priority="198" stopIfTrue="1" operator="lessThan">
      <formula>0.5</formula>
    </cfRule>
    <cfRule type="cellIs" dxfId="1274" priority="197" stopIfTrue="1" operator="between">
      <formula>0.5</formula>
      <formula>0.799</formula>
    </cfRule>
    <cfRule type="cellIs" dxfId="1273" priority="196" stopIfTrue="1" operator="greaterThanOrEqual">
      <formula>0.8</formula>
    </cfRule>
  </conditionalFormatting>
  <conditionalFormatting sqref="C80">
    <cfRule type="cellIs" dxfId="1272" priority="195" stopIfTrue="1" operator="lessThan">
      <formula>0.5</formula>
    </cfRule>
    <cfRule type="cellIs" dxfId="1271" priority="194" stopIfTrue="1" operator="between">
      <formula>0.5</formula>
      <formula>0.799</formula>
    </cfRule>
    <cfRule type="cellIs" dxfId="1270" priority="193" stopIfTrue="1" operator="greaterThanOrEqual">
      <formula>0.8</formula>
    </cfRule>
  </conditionalFormatting>
  <conditionalFormatting sqref="C90">
    <cfRule type="cellIs" dxfId="1269" priority="41" stopIfTrue="1" operator="lessThan">
      <formula>0.5</formula>
    </cfRule>
    <cfRule type="cellIs" dxfId="1268" priority="39" stopIfTrue="1" operator="greaterThanOrEqual">
      <formula>0.8</formula>
    </cfRule>
    <cfRule type="cellIs" dxfId="1267" priority="40" stopIfTrue="1" operator="between">
      <formula>0.5</formula>
      <formula>0.799</formula>
    </cfRule>
  </conditionalFormatting>
  <conditionalFormatting sqref="G5:G11 G15:G25 G29:G41 G47:G59 G66 G78 G85:G88 G101">
    <cfRule type="containsText" dxfId="1266" priority="8" stopIfTrue="1" operator="containsText" text="RED FLAG">
      <formula>NOT(ISERROR(SEARCH("RED FLAG",G5)))</formula>
    </cfRule>
  </conditionalFormatting>
  <conditionalFormatting sqref="G5:G12 G15:G25 G28:G42 G47:G60 G66:G67 G78 G85:G88 G96:G101">
    <cfRule type="cellIs" dxfId="1265" priority="11" stopIfTrue="1" operator="greaterThan">
      <formula>0.75</formula>
    </cfRule>
    <cfRule type="cellIs" dxfId="1264" priority="9" stopIfTrue="1" operator="lessThan">
      <formula>0.5</formula>
    </cfRule>
    <cfRule type="cellIs" dxfId="1263" priority="10" stopIfTrue="1" operator="between">
      <formula>0.5</formula>
      <formula>0.75</formula>
    </cfRule>
  </conditionalFormatting>
  <conditionalFormatting sqref="G69">
    <cfRule type="cellIs" dxfId="1260" priority="327" stopIfTrue="1" operator="lessThan">
      <formula>0.5</formula>
    </cfRule>
    <cfRule type="cellIs" dxfId="1259" priority="329" stopIfTrue="1" operator="greaterThan">
      <formula>0.75</formula>
    </cfRule>
    <cfRule type="cellIs" dxfId="1258" priority="328" stopIfTrue="1" operator="between">
      <formula>0.5</formula>
      <formula>0.75</formula>
    </cfRule>
  </conditionalFormatting>
  <conditionalFormatting sqref="G73">
    <cfRule type="cellIs" dxfId="1257" priority="321" stopIfTrue="1" operator="lessThan">
      <formula>0.5</formula>
    </cfRule>
    <cfRule type="cellIs" dxfId="1256" priority="323" stopIfTrue="1" operator="greaterThan">
      <formula>0.75</formula>
    </cfRule>
    <cfRule type="cellIs" dxfId="1255" priority="322" stopIfTrue="1" operator="between">
      <formula>0.5</formula>
      <formula>0.75</formula>
    </cfRule>
  </conditionalFormatting>
  <conditionalFormatting sqref="G81">
    <cfRule type="cellIs" dxfId="1254" priority="100" stopIfTrue="1" operator="greaterThan">
      <formula>0.75</formula>
    </cfRule>
    <cfRule type="cellIs" dxfId="1253" priority="99" stopIfTrue="1" operator="between">
      <formula>0.5</formula>
      <formula>0.75</formula>
    </cfRule>
    <cfRule type="cellIs" dxfId="1252" priority="98" stopIfTrue="1" operator="lessThan">
      <formula>0.5</formula>
    </cfRule>
  </conditionalFormatting>
  <conditionalFormatting sqref="G83">
    <cfRule type="cellIs" dxfId="1251" priority="324" stopIfTrue="1" operator="lessThan">
      <formula>0.5</formula>
    </cfRule>
    <cfRule type="cellIs" dxfId="1250" priority="325" stopIfTrue="1" operator="between">
      <formula>0.5</formula>
      <formula>0.75</formula>
    </cfRule>
    <cfRule type="cellIs" dxfId="1249" priority="326" stopIfTrue="1" operator="greaterThan">
      <formula>0.75</formula>
    </cfRule>
  </conditionalFormatting>
  <conditionalFormatting sqref="G103:G107">
    <cfRule type="cellIs" dxfId="1248" priority="17" stopIfTrue="1" operator="greaterThan">
      <formula>0.75</formula>
    </cfRule>
    <cfRule type="cellIs" dxfId="1247" priority="16" stopIfTrue="1" operator="between">
      <formula>0.5</formula>
      <formula>0.75</formula>
    </cfRule>
    <cfRule type="cellIs" dxfId="1246" priority="15" stopIfTrue="1" operator="lessThan">
      <formula>0.5</formula>
    </cfRule>
  </conditionalFormatting>
  <conditionalFormatting sqref="G109:G113">
    <cfRule type="cellIs" dxfId="1245" priority="1" stopIfTrue="1" operator="lessThan">
      <formula>0.5</formula>
    </cfRule>
    <cfRule type="cellIs" dxfId="1244" priority="3" stopIfTrue="1" operator="greaterThan">
      <formula>0.75</formula>
    </cfRule>
    <cfRule type="cellIs" dxfId="1243" priority="2" stopIfTrue="1" operator="between">
      <formula>0.5</formula>
      <formula>0.75</formula>
    </cfRule>
  </conditionalFormatting>
  <conditionalFormatting sqref="I5:I8">
    <cfRule type="containsText" dxfId="1242" priority="38" operator="containsText" text="System Flag">
      <formula>NOT(ISERROR(SEARCH("System Flag",I5)))</formula>
    </cfRule>
  </conditionalFormatting>
  <conditionalFormatting sqref="I9:I11">
    <cfRule type="cellIs" dxfId="1241" priority="24" stopIfTrue="1" operator="greaterThan">
      <formula>0.75</formula>
    </cfRule>
    <cfRule type="cellIs" dxfId="1240" priority="23" stopIfTrue="1" operator="between">
      <formula>0.5</formula>
      <formula>0.75</formula>
    </cfRule>
    <cfRule type="cellIs" dxfId="1239" priority="22" stopIfTrue="1" operator="lessThan">
      <formula>0.5</formula>
    </cfRule>
    <cfRule type="containsText" dxfId="1238" priority="21" stopIfTrue="1" operator="containsText" text="RED FLAG">
      <formula>NOT(ISERROR(SEARCH("RED FLAG",I9)))</formula>
    </cfRule>
  </conditionalFormatting>
  <conditionalFormatting sqref="I81">
    <cfRule type="containsText" dxfId="1237" priority="20" operator="containsText" text="Red Flag">
      <formula>NOT(ISERROR(SEARCH("Red Flag",I81)))</formula>
    </cfRule>
    <cfRule type="containsText" dxfId="1236" priority="19" operator="containsText" text="'">
      <formula>NOT(ISERROR(SEARCH("'",I81)))</formula>
    </cfRule>
  </conditionalFormatting>
  <conditionalFormatting sqref="I87:I88">
    <cfRule type="containsText" dxfId="1235" priority="18" operator="containsText" text="System Flag">
      <formula>NOT(ISERROR(SEARCH("System Flag",I87)))</formula>
    </cfRule>
  </conditionalFormatting>
  <dataValidations count="6">
    <dataValidation type="list" allowBlank="1" showInputMessage="1" showErrorMessage="1" sqref="C85:C88 C78 C96:C101 C103:C107 C109:C113" xr:uid="{00000000-0002-0000-0700-000000000000}">
      <formula1>"Yes,No,NA"</formula1>
    </dataValidation>
    <dataValidation type="list" allowBlank="1" showInputMessage="1" showErrorMessage="1" sqref="C47:C59 C66 C92:C93 C29:C41 C5:C11 C15:C25" xr:uid="{00000000-0002-0000-0700-000001000000}">
      <formula1>"Yes,No"</formula1>
    </dataValidation>
    <dataValidation type="list" allowBlank="1" showInputMessage="1" showErrorMessage="1" sqref="C73 C81" xr:uid="{00000000-0002-0000-0700-000002000000}">
      <formula1>"1,2,3,4,NA"</formula1>
    </dataValidation>
    <dataValidation type="list" allowBlank="1" showInputMessage="1" showErrorMessage="1" sqref="C83" xr:uid="{00000000-0002-0000-0700-000003000000}">
      <formula1>"1,2,3,NA"</formula1>
    </dataValidation>
    <dataValidation type="list" allowBlank="1" showInputMessage="1" showErrorMessage="1" sqref="C60" xr:uid="{00000000-0002-0000-0700-000004000000}">
      <formula1>"1,2,3,4,5"</formula1>
    </dataValidation>
    <dataValidation type="list" allowBlank="1" showInputMessage="1" showErrorMessage="1" sqref="C69" xr:uid="{00000000-0002-0000-0700-000005000000}">
      <formula1>"1,2,3"</formula1>
    </dataValidation>
  </dataValidations>
  <pageMargins left="0.25" right="0.25" top="0.75000000000000011" bottom="0.75000000000000011" header="0.30000000000000004" footer="0.30000000000000004"/>
  <pageSetup paperSize="9" scale="93" fitToHeight="4" orientation="landscape" r:id="rId1"/>
  <headerFooter>
    <oddFooter>&amp;C&amp;A -&amp;P</oddFooter>
  </headerFooter>
  <rowBreaks count="4" manualBreakCount="4">
    <brk id="26" max="4" man="1"/>
    <brk id="50" max="4" man="1"/>
    <brk id="78" max="4" man="1"/>
    <brk id="101" max="4" man="1"/>
  </rowBreaks>
  <drawing r:id="rId2"/>
  <extLst>
    <ext xmlns:x14="http://schemas.microsoft.com/office/spreadsheetml/2009/9/main" uri="{78C0D931-6437-407d-A8EE-F0AAD7539E65}">
      <x14:conditionalFormattings>
        <x14:conditionalFormatting xmlns:xm="http://schemas.microsoft.com/office/excel/2006/main">
          <x14:cfRule type="containsText" priority="1324" stopIfTrue="1" operator="containsText" text="RED FLAG" id="{078CF11C-044E-46BA-9294-5FC275FE5637}">
            <xm:f>NOT(ISERROR(SEARCH("RED FLAG",'Processing 9'!#REF!)))</xm:f>
            <x14:dxf>
              <font>
                <color rgb="FF9C0006"/>
              </font>
              <fill>
                <patternFill>
                  <bgColor rgb="FFFFC7CE"/>
                </patternFill>
              </fill>
            </x14:dxf>
          </x14:cfRule>
          <xm:sqref>G27:G28 G13:G14</xm:sqref>
        </x14:conditionalFormatting>
        <x14:conditionalFormatting xmlns:xm="http://schemas.microsoft.com/office/excel/2006/main">
          <x14:cfRule type="containsText" priority="1435" stopIfTrue="1" operator="containsText" text="RED FLAG" id="{202386C8-F96F-4188-BE65-687B22E57D4B}">
            <xm:f>NOT(ISERROR(SEARCH("RED FLAG",'Processing 9'!#REF!)))</xm:f>
            <x14:dxf>
              <font>
                <color rgb="FF9C0006"/>
              </font>
              <fill>
                <patternFill>
                  <bgColor rgb="FFFFC7CE"/>
                </patternFill>
              </fill>
            </x14:dxf>
          </x14:cfRule>
          <xm:sqref>G42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0d1212-61b8-4323-bcc4-f42ddede777d">
      <Terms xmlns="http://schemas.microsoft.com/office/infopath/2007/PartnerControls"/>
    </lcf76f155ced4ddcb4097134ff3c332f>
    <TaxCatchAll xmlns="0d643e6b-beed-4993-859b-c9c3c7fee416"/>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532BE985CBA04E97B996C6A0747F78" ma:contentTypeVersion="14" ma:contentTypeDescription="Create a new document." ma:contentTypeScope="" ma:versionID="749d7aadb234425abf2c63182b7936f8">
  <xsd:schema xmlns:xsd="http://www.w3.org/2001/XMLSchema" xmlns:xs="http://www.w3.org/2001/XMLSchema" xmlns:p="http://schemas.microsoft.com/office/2006/metadata/properties" xmlns:ns2="0c0d1212-61b8-4323-bcc4-f42ddede777d" xmlns:ns3="0d643e6b-beed-4993-859b-c9c3c7fee416" targetNamespace="http://schemas.microsoft.com/office/2006/metadata/properties" ma:root="true" ma:fieldsID="245a2c300ac77b86872fd268a2e7902a" ns2:_="" ns3:_="">
    <xsd:import namespace="0c0d1212-61b8-4323-bcc4-f42ddede777d"/>
    <xsd:import namespace="0d643e6b-beed-4993-859b-c9c3c7fee41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d1212-61b8-4323-bcc4-f42ddede77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643e6b-beed-4993-859b-c9c3c7fee41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7e58c4d-a607-4661-a0cd-90ece2dfccfe}" ma:internalName="TaxCatchAll" ma:showField="CatchAllData" ma:web="0d643e6b-beed-4993-859b-c9c3c7fee416">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3653A3-9475-4CD1-951D-B30B41B6EFED}">
  <ds:schemaRefs>
    <ds:schemaRef ds:uri="http://schemas.microsoft.com/sharepoint/v3/contenttype/forms"/>
  </ds:schemaRefs>
</ds:datastoreItem>
</file>

<file path=customXml/itemProps2.xml><?xml version="1.0" encoding="utf-8"?>
<ds:datastoreItem xmlns:ds="http://schemas.openxmlformats.org/officeDocument/2006/customXml" ds:itemID="{890CAD07-A09A-4DC1-85FB-F3B1EFE5A48E}">
  <ds:schemaRefs>
    <ds:schemaRef ds:uri="http://schemas.openxmlformats.org/package/2006/metadata/core-properties"/>
    <ds:schemaRef ds:uri="http://schemas.microsoft.com/office/infopath/2007/PartnerControls"/>
    <ds:schemaRef ds:uri="0c0d1212-61b8-4323-bcc4-f42ddede777d"/>
    <ds:schemaRef ds:uri="http://purl.org/dc/terms/"/>
    <ds:schemaRef ds:uri="http://www.w3.org/XML/1998/namespace"/>
    <ds:schemaRef ds:uri="http://purl.org/dc/elements/1.1/"/>
    <ds:schemaRef ds:uri="http://schemas.microsoft.com/office/2006/documentManagement/types"/>
    <ds:schemaRef ds:uri="0d643e6b-beed-4993-859b-c9c3c7fee41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0CF678-B7D0-44C7-A30E-CEDD5D207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d1212-61b8-4323-bcc4-f42ddede777d"/>
    <ds:schemaRef ds:uri="0d643e6b-beed-4993-859b-c9c3c7fee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37</vt:i4>
      </vt:variant>
    </vt:vector>
  </HeadingPairs>
  <TitlesOfParts>
    <vt:vector size="62" baseType="lpstr">
      <vt:lpstr>Cover</vt:lpstr>
      <vt:lpstr>Language</vt:lpstr>
      <vt:lpstr>Registration</vt:lpstr>
      <vt:lpstr>Introduction</vt:lpstr>
      <vt:lpstr>Assessor Guide</vt:lpstr>
      <vt:lpstr>General 0</vt:lpstr>
      <vt:lpstr>Facility 1</vt:lpstr>
      <vt:lpstr>LIS 2</vt:lpstr>
      <vt:lpstr>Data Mgmt 3</vt:lpstr>
      <vt:lpstr>QA 4</vt:lpstr>
      <vt:lpstr>Media QC 5</vt:lpstr>
      <vt:lpstr>ID QC 6</vt:lpstr>
      <vt:lpstr>AST QC 7</vt:lpstr>
      <vt:lpstr>Specimen 8</vt:lpstr>
      <vt:lpstr>Processing 9</vt:lpstr>
      <vt:lpstr>Identification 10</vt:lpstr>
      <vt:lpstr>Basic AST 11</vt:lpstr>
      <vt:lpstr>AST Expert rules 12</vt:lpstr>
      <vt:lpstr>AST Policy 13</vt:lpstr>
      <vt:lpstr>Safety</vt:lpstr>
      <vt:lpstr>Summary</vt:lpstr>
      <vt:lpstr>Flags</vt:lpstr>
      <vt:lpstr>Conclusions</vt:lpstr>
      <vt:lpstr>Photos</vt:lpstr>
      <vt:lpstr>Export</vt:lpstr>
      <vt:lpstr>'Basic AST 11'!_Toc1732529</vt:lpstr>
      <vt:lpstr>'Basic AST 11'!_Toc1732530</vt:lpstr>
      <vt:lpstr>'Basic AST 11'!_Toc1732531</vt:lpstr>
      <vt:lpstr>'Basic AST 11'!_Toc1732532</vt:lpstr>
      <vt:lpstr>'Basic AST 11'!_Toc1732533</vt:lpstr>
      <vt:lpstr>'Basic AST 11'!_Toc1732534</vt:lpstr>
      <vt:lpstr>'AST Policy 13'!_Toc1732536</vt:lpstr>
      <vt:lpstr>'AST Expert rules 12'!_Toc1732539</vt:lpstr>
      <vt:lpstr>'AST Expert rules 12'!_Toc1732542</vt:lpstr>
      <vt:lpstr>'AST Expert rules 12'!_Toc1732544</vt:lpstr>
      <vt:lpstr>'Assessor Guide'!_Toc2177259</vt:lpstr>
      <vt:lpstr>'AST QC 7'!_Toc486852725</vt:lpstr>
      <vt:lpstr>'Processing 9'!_Toc486852730</vt:lpstr>
      <vt:lpstr>'Specimen 8'!_Toc486852730</vt:lpstr>
      <vt:lpstr>'Identification 10'!_Toc486852735</vt:lpstr>
      <vt:lpstr>'Identification 10'!_Toc486852736</vt:lpstr>
      <vt:lpstr>'Identification 10'!_Toc486852742</vt:lpstr>
      <vt:lpstr>langue</vt:lpstr>
      <vt:lpstr>'Assessor Guide'!Print_Area</vt:lpstr>
      <vt:lpstr>'AST Expert rules 12'!Print_Area</vt:lpstr>
      <vt:lpstr>'AST Policy 13'!Print_Area</vt:lpstr>
      <vt:lpstr>'AST QC 7'!Print_Area</vt:lpstr>
      <vt:lpstr>'Basic AST 11'!Print_Area</vt:lpstr>
      <vt:lpstr>'Data Mgmt 3'!Print_Area</vt:lpstr>
      <vt:lpstr>'Facility 1'!Print_Area</vt:lpstr>
      <vt:lpstr>Flags!Print_Area</vt:lpstr>
      <vt:lpstr>'General 0'!Print_Area</vt:lpstr>
      <vt:lpstr>'Identification 10'!Print_Area</vt:lpstr>
      <vt:lpstr>Introduction!Print_Area</vt:lpstr>
      <vt:lpstr>Language!Print_Area</vt:lpstr>
      <vt:lpstr>'LIS 2'!Print_Area</vt:lpstr>
      <vt:lpstr>'Media QC 5'!Print_Area</vt:lpstr>
      <vt:lpstr>'Processing 9'!Print_Area</vt:lpstr>
      <vt:lpstr>'QA 4'!Print_Area</vt:lpstr>
      <vt:lpstr>Safety!Print_Area</vt:lpstr>
      <vt:lpstr>'Specimen 8'!Print_Area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dc:creator>
  <cp:keywords/>
  <dc:description/>
  <cp:lastModifiedBy>Simon, Laura H. (CDC/NCEZID/DHQP/OD) (CTR)</cp:lastModifiedBy>
  <cp:revision/>
  <dcterms:created xsi:type="dcterms:W3CDTF">2018-12-14T09:33:58Z</dcterms:created>
  <dcterms:modified xsi:type="dcterms:W3CDTF">2025-02-04T20:13:31Z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0x01010043532BE985CBA04E97B996C6A0747F78</vt:lpwstr>
  </property>
  <property fmtid="{D5CDD505-2E9C-101B-9397-08002B2CF9AE}" pid="3" name="MSIP_Label_8af03ff0-41c5-4c41-b55e-fabb8fae94be_Enabled">
    <vt:lpwstr>true</vt:lpwstr>
  </property>
  <property fmtid="{D5CDD505-2E9C-101B-9397-08002B2CF9AE}" pid="4" name="MSIP_Label_8af03ff0-41c5-4c41-b55e-fabb8fae94be_SetDate">
    <vt:lpwstr>2020-11-12T17:16:01Z</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iteId">
    <vt:lpwstr>9ce70869-60db-44fd-abe8-d2767077fc8f</vt:lpwstr>
  </property>
  <property fmtid="{D5CDD505-2E9C-101B-9397-08002B2CF9AE}" pid="8" name="MSIP_Label_8af03ff0-41c5-4c41-b55e-fabb8fae94be_ActionId">
    <vt:lpwstr>cf4e5c6f-7bc8-49fe-8395-1abccbefb4da</vt:lpwstr>
  </property>
  <property fmtid="{D5CDD505-2E9C-101B-9397-08002B2CF9AE}" pid="9" name="MSIP_Label_8af03ff0-41c5-4c41-b55e-fabb8fae94be_ContentBits">
    <vt:lpwstr>0</vt:lpwstr>
  </property>
  <property fmtid="{D5CDD505-2E9C-101B-9397-08002B2CF9AE}" pid="10" name="MediaServiceImageTags">
    <vt:lpwstr/>
  </property>
</Properties>
</file>