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75" windowWidth="10125" windowHeight="4020" tabRatio="753" activeTab="0"/>
  </bookViews>
  <sheets>
    <sheet name="Title_Page" sheetId="1" r:id="rId1"/>
    <sheet name="Instructions" sheetId="2" r:id="rId2"/>
    <sheet name="Main_Sheet" sheetId="3" r:id="rId3"/>
    <sheet name="Population" sheetId="4" r:id="rId4"/>
    <sheet name="HighRisk_Age" sheetId="5" r:id="rId5"/>
    <sheet name="Outpatients" sheetId="6" r:id="rId6"/>
    <sheet name="Hospitalizations" sheetId="7" r:id="rId7"/>
    <sheet name="Deaths" sheetId="8" r:id="rId8"/>
    <sheet name="Attack_Rates" sheetId="9" r:id="rId9"/>
    <sheet name="RESULTS" sheetId="10" r:id="rId10"/>
    <sheet name="RESULTS2" sheetId="11" r:id="rId11"/>
    <sheet name="RESULTS3" sheetId="12" r:id="rId12"/>
    <sheet name="RESULTS4" sheetId="13" r:id="rId13"/>
    <sheet name="RESULTS5" sheetId="14" r:id="rId14"/>
    <sheet name="data entry" sheetId="15" r:id="rId15"/>
    <sheet name="State populations" sheetId="16" r:id="rId16"/>
    <sheet name="Sheet1" sheetId="17" r:id="rId17"/>
    <sheet name="cases" sheetId="18" r:id="rId18"/>
    <sheet name="hospitalizations (2)" sheetId="19" r:id="rId19"/>
    <sheet name="deaths (2)" sheetId="20" r:id="rId20"/>
    <sheet name="deaths (3)" sheetId="21" r:id="rId21"/>
    <sheet name="new_case_fatality" sheetId="22" r:id="rId22"/>
  </sheets>
  <definedNames>
    <definedName name="_xlnm.Print_Area" localSheetId="8">'Attack_Rates'!$A$1:$Q$32</definedName>
    <definedName name="_xlnm.Print_Area" localSheetId="14">'data entry'!$V$16:$AD$82</definedName>
    <definedName name="_xlnm.Print_Area" localSheetId="7">'Deaths'!$A$1:$S$33</definedName>
    <definedName name="_xlnm.Print_Area" localSheetId="4">'HighRisk_Age'!$A$1:$I$19</definedName>
    <definedName name="_xlnm.Print_Area" localSheetId="6">'Hospitalizations'!$A$1:$R$25</definedName>
    <definedName name="_xlnm.Print_Area" localSheetId="1">'Instructions'!$A$1:$J$24</definedName>
    <definedName name="_xlnm.Print_Area" localSheetId="2">'Main_Sheet'!$A$1:$M$18</definedName>
    <definedName name="_xlnm.Print_Area" localSheetId="5">'Outpatients'!$A$1:$Q$24</definedName>
    <definedName name="_xlnm.Print_Area" localSheetId="3">'Population'!$A$1:$J$23</definedName>
    <definedName name="_xlnm.Print_Area" localSheetId="9">'RESULTS'!$A$1:$K$38</definedName>
    <definedName name="_xlnm.Print_Area" localSheetId="10">'RESULTS2'!$A$1:$N$54</definedName>
    <definedName name="_xlnm.Print_Area" localSheetId="11">'RESULTS3'!$A$1:$O$45</definedName>
    <definedName name="_xlnm.Print_Area" localSheetId="12">'RESULTS4'!$A$1:$O$86</definedName>
    <definedName name="_xlnm.Print_Area" localSheetId="13">'RESULTS5'!$A$1:$M$75</definedName>
    <definedName name="state">'State populations'!$A$7:$A$62</definedName>
    <definedName name="states">'State populations'!$A$7:$A$62</definedName>
    <definedName name="states_other">'State populations'!$A$5:$A$62</definedName>
  </definedNames>
  <calcPr fullCalcOnLoad="1"/>
</workbook>
</file>

<file path=xl/sharedStrings.xml><?xml version="1.0" encoding="utf-8"?>
<sst xmlns="http://schemas.openxmlformats.org/spreadsheetml/2006/main" count="1107" uniqueCount="316">
  <si>
    <t>qzm4@cdc.gov</t>
  </si>
  <si>
    <t>hse7@cdc.gov</t>
  </si>
  <si>
    <t>Charisma Y. Atkins, DEISS/NCPDCID/CDC</t>
  </si>
  <si>
    <t>Rebekah H. Borse, DEISS/NCPDCID/CDC</t>
  </si>
  <si>
    <t>gyq5@cdc.gov</t>
  </si>
  <si>
    <t>Martin I. Meltzer, DEISS/NCPDCID/CDC</t>
  </si>
  <si>
    <t>Main Screen</t>
  </si>
  <si>
    <t>Last Name</t>
  </si>
  <si>
    <t>First Name</t>
  </si>
  <si>
    <t>Address</t>
  </si>
  <si>
    <t>City</t>
  </si>
  <si>
    <t>State</t>
  </si>
  <si>
    <t>Zip</t>
  </si>
  <si>
    <t>County</t>
  </si>
  <si>
    <t>Population by Age Group</t>
  </si>
  <si>
    <t>Alabama</t>
  </si>
  <si>
    <t>65+ Years</t>
  </si>
  <si>
    <t>Total Population</t>
  </si>
  <si>
    <t>Deaths</t>
  </si>
  <si>
    <t>High Risk</t>
  </si>
  <si>
    <t>Minimium</t>
  </si>
  <si>
    <t xml:space="preserve">Mean </t>
  </si>
  <si>
    <t>Most Likely</t>
  </si>
  <si>
    <t>(Most Likely)</t>
  </si>
  <si>
    <t>Maximum</t>
  </si>
  <si>
    <t>Non-High Risk</t>
  </si>
  <si>
    <t>Hospitalizations</t>
  </si>
  <si>
    <t>Gross Attack Rates</t>
  </si>
  <si>
    <t>Percentages</t>
  </si>
  <si>
    <t>Lowest</t>
  </si>
  <si>
    <t>Middle</t>
  </si>
  <si>
    <t>Highest</t>
  </si>
  <si>
    <t>RESULTS</t>
  </si>
  <si>
    <t xml:space="preserve">First Name: </t>
  </si>
  <si>
    <t>State:</t>
  </si>
  <si>
    <t>Zip Code:</t>
  </si>
  <si>
    <t xml:space="preserve"> Last Name:</t>
  </si>
  <si>
    <t xml:space="preserve"> City:</t>
  </si>
  <si>
    <t xml:space="preserve"> Address:</t>
  </si>
  <si>
    <t>Other</t>
  </si>
  <si>
    <t>Alaska</t>
  </si>
  <si>
    <t>Arizona</t>
  </si>
  <si>
    <t>Arkansas</t>
  </si>
  <si>
    <t>California</t>
  </si>
  <si>
    <t>Connecticut</t>
  </si>
  <si>
    <t>Delaware</t>
  </si>
  <si>
    <t>District of Columbia</t>
  </si>
  <si>
    <t>Florida</t>
  </si>
  <si>
    <t>Georgia</t>
  </si>
  <si>
    <t>Guam</t>
  </si>
  <si>
    <t>Hawaii</t>
  </si>
  <si>
    <t>Idaho</t>
  </si>
  <si>
    <t>Illinois</t>
  </si>
  <si>
    <t>Indiana</t>
  </si>
  <si>
    <t>Iowa</t>
  </si>
  <si>
    <t>Kansas</t>
  </si>
  <si>
    <t>Kentucky</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</si>
  <si>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</si>
  <si>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</si>
  <si>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</si>
  <si>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</si>
  <si>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</si>
  <si>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</si>
  <si>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</si>
  <si>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</si>
  <si>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</si>
  <si>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</si>
  <si>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</si>
  <si>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</si>
  <si>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</si>
  <si>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</si>
  <si>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</si>
  <si>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</si>
  <si>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</si>
  <si>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</si>
  <si>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</si>
  <si>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</si>
  <si>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</si>
  <si>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</si>
  <si>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</si>
  <si>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</si>
  <si>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</si>
  <si>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</si>
  <si>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</si>
  <si>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</si>
  <si>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</si>
  <si>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</si>
  <si>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</si>
  <si>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</si>
  <si>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</si>
  <si>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 xml:space="preserve"> POPULATION BY AGE GROUP</t>
  </si>
  <si>
    <t>You Entered</t>
  </si>
  <si>
    <t>Default Values</t>
  </si>
  <si>
    <t>HIGH RISK PERCENTAGES BY AGE GROUP</t>
  </si>
  <si>
    <t>DEATHS</t>
  </si>
  <si>
    <t>HOSPITALIZATIONS</t>
  </si>
  <si>
    <t>OUTPATIENT VISITS</t>
  </si>
  <si>
    <t>Low</t>
  </si>
  <si>
    <t>High</t>
  </si>
  <si>
    <t xml:space="preserve">1st </t>
  </si>
  <si>
    <t>Basic, opening entry page</t>
  </si>
  <si>
    <t>data entry</t>
  </si>
  <si>
    <t>Name (optional)</t>
  </si>
  <si>
    <t>Address (optional)</t>
  </si>
  <si>
    <t>Date</t>
  </si>
  <si>
    <t>Time</t>
  </si>
  <si>
    <t>2nd</t>
  </si>
  <si>
    <t>Population numbers:</t>
  </si>
  <si>
    <t>Breakdown population of state by age group</t>
  </si>
  <si>
    <r>
      <t>List the state</t>
    </r>
    <r>
      <rPr>
        <sz val="10"/>
        <rFont val="Arial"/>
        <family val="0"/>
      </rPr>
      <t>:</t>
    </r>
  </si>
  <si>
    <t>Age group</t>
  </si>
  <si>
    <t>0-17yrs</t>
  </si>
  <si>
    <t>18-64yrs</t>
  </si>
  <si>
    <t>65+yrs</t>
  </si>
  <si>
    <t>Total</t>
  </si>
  <si>
    <t>Numbers</t>
  </si>
  <si>
    <t>Note:  Obtain data by state from next sheet</t>
  </si>
  <si>
    <t>3rd</t>
  </si>
  <si>
    <t>Set percentages define population considered at "high risk"</t>
  </si>
  <si>
    <t>from adverse health outcomes due to influenza</t>
  </si>
  <si>
    <t>Weighted average</t>
  </si>
  <si>
    <t>Note: weighted average calculated based on percenatge of population</t>
  </si>
  <si>
    <t>Population: Numbers and distribution</t>
  </si>
  <si>
    <t>% total</t>
  </si>
  <si>
    <t>non-high risk</t>
  </si>
  <si>
    <t>high risk</t>
  </si>
  <si>
    <t xml:space="preserve">  totals</t>
  </si>
  <si>
    <t>4th</t>
  </si>
  <si>
    <t>Gross attack rates</t>
  </si>
  <si>
    <t>Distribution by age group: Most likely</t>
  </si>
  <si>
    <t>"Most likely"</t>
  </si>
  <si>
    <t>% High risk</t>
  </si>
  <si>
    <t>% Total</t>
  </si>
  <si>
    <t>rates</t>
  </si>
  <si>
    <t>"High risk"</t>
  </si>
  <si>
    <t>(or median)</t>
  </si>
  <si>
    <t>0-17 yrs most likely</t>
  </si>
  <si>
    <t>0-17 yrs</t>
  </si>
  <si>
    <t xml:space="preserve"> per 100</t>
  </si>
  <si>
    <t>18-64 yrs</t>
  </si>
  <si>
    <t>65+ yrs</t>
  </si>
  <si>
    <t>18-64yrs most likely</t>
  </si>
  <si>
    <t>Totals</t>
  </si>
  <si>
    <t>"Non high risk"</t>
  </si>
  <si>
    <t>65+ yrs most likely</t>
  </si>
  <si>
    <t>TOTAL: Most likely</t>
  </si>
  <si>
    <t>5th</t>
  </si>
  <si>
    <t>6th</t>
  </si>
  <si>
    <t>Percent adverse health outcomes amongst cases, by age and risk groups</t>
  </si>
  <si>
    <t>Outpatient visits</t>
  </si>
  <si>
    <t xml:space="preserve">OUTPATIENT </t>
  </si>
  <si>
    <t>VISITS</t>
  </si>
  <si>
    <t>(or mean)</t>
  </si>
  <si>
    <t>per 100</t>
  </si>
  <si>
    <t>7th</t>
  </si>
  <si>
    <t>Percentage of total population that will have a clinical case of influenza</t>
  </si>
  <si>
    <t>2008 State and Territory Population Estimates</t>
  </si>
  <si>
    <t>0-17</t>
  </si>
  <si>
    <t>18-64</t>
  </si>
  <si>
    <t>65+</t>
  </si>
  <si>
    <t>Colorado</t>
  </si>
  <si>
    <t>Louisiana</t>
  </si>
  <si>
    <t>US Virgin Islands</t>
  </si>
  <si>
    <t>Totals:</t>
  </si>
  <si>
    <t xml:space="preserve">Estimates of Populations and and High-risk Conditions for Influenza Vaccination based on 2007 National Health Interview Survey (NHIS 2007) </t>
  </si>
  <si>
    <t>Age aroups</t>
  </si>
  <si>
    <t>Population      (million)</t>
  </si>
  <si>
    <t>Persons with high-risk conditions (million)</t>
  </si>
  <si>
    <t>Persons with diabetes (kids &amp; adult) (million)</t>
  </si>
  <si>
    <t>Persons with heart Diseases (kids &amp; adult) (million)</t>
  </si>
  <si>
    <t>Persons with lung diseases (adult, including asthma, bronchitis, and emphysema) (million)</t>
  </si>
  <si>
    <t>Persons with lung disease (kids: asthma) (million)</t>
  </si>
  <si>
    <t>Persons with kidney diseases (adult) (million)</t>
  </si>
  <si>
    <t>Persons with cancer (adult) (million)</t>
  </si>
  <si>
    <t>Persons with cystic fibrosis (kids) (actual number)</t>
  </si>
  <si>
    <t xml:space="preserve">Persons with sickle (kids) </t>
  </si>
  <si>
    <t>Persons with cerebral palsy (kids) (million)</t>
  </si>
  <si>
    <t xml:space="preserve">Persons with cerebral dystrophy (kids) (actual number) </t>
  </si>
  <si>
    <t>Persons with seizures (kids) (actual number)</t>
  </si>
  <si>
    <t>Pregant women (female aged 18-45 yrs) (million)</t>
  </si>
  <si>
    <t xml:space="preserve">Total </t>
  </si>
  <si>
    <t>&lt;1 yrs</t>
  </si>
  <si>
    <t>1-&lt;2 yrs</t>
  </si>
  <si>
    <t>2-4 yrs</t>
  </si>
  <si>
    <t>5-17 yrs</t>
  </si>
  <si>
    <t>18-49 yrs</t>
  </si>
  <si>
    <t>50-64 yrs</t>
  </si>
  <si>
    <t>cases</t>
  </si>
  <si>
    <t>deaths</t>
  </si>
  <si>
    <t xml:space="preserve">cases </t>
  </si>
  <si>
    <t>population</t>
  </si>
  <si>
    <t>high risk population</t>
  </si>
  <si>
    <t>% high risk</t>
  </si>
  <si>
    <t>0-4</t>
  </si>
  <si>
    <t>5 to 17</t>
  </si>
  <si>
    <t>18 to 24</t>
  </si>
  <si>
    <t>25-49</t>
  </si>
  <si>
    <t>50-64</t>
  </si>
  <si>
    <t xml:space="preserve">Estimated population </t>
  </si>
  <si>
    <t>rate, per 100,000</t>
  </si>
  <si>
    <t>Population</t>
  </si>
  <si>
    <t>90% lower</t>
  </si>
  <si>
    <t>median</t>
  </si>
  <si>
    <t>90% upper</t>
  </si>
  <si>
    <t>0-4 years</t>
  </si>
  <si>
    <t>5-17 years</t>
  </si>
  <si>
    <t>18-24 years</t>
  </si>
  <si>
    <t>25-49 years</t>
  </si>
  <si>
    <t>high risk cases</t>
  </si>
  <si>
    <t>high-risk cases</t>
  </si>
  <si>
    <t>Non-risk cases</t>
  </si>
  <si>
    <t>non-risk cases</t>
  </si>
  <si>
    <t>hospitalizations</t>
  </si>
  <si>
    <t>case hospitalization (% hospitalization)</t>
  </si>
  <si>
    <t>high risk hospitalizations</t>
  </si>
  <si>
    <t>high-risk hospitalizations</t>
  </si>
  <si>
    <t>Non-risk hospitalizations</t>
  </si>
  <si>
    <t>case fatality (% deaths)</t>
  </si>
  <si>
    <t>high risk deaths</t>
  </si>
  <si>
    <t>high-risk deaths</t>
  </si>
  <si>
    <t>Non-risk deaths</t>
  </si>
  <si>
    <t>non-risk deaths</t>
  </si>
  <si>
    <t>User inputs</t>
  </si>
  <si>
    <t>time</t>
  </si>
  <si>
    <t>Median</t>
  </si>
  <si>
    <t>0-17 Years</t>
  </si>
  <si>
    <t>18-64 Years</t>
  </si>
  <si>
    <t>REVIEW YOUR INPUTS</t>
  </si>
  <si>
    <t>Population: number and distribution</t>
  </si>
  <si>
    <t>0-18 yrs</t>
  </si>
  <si>
    <t>19-64 yrs</t>
  </si>
  <si>
    <t>Non-high risk</t>
  </si>
  <si>
    <t>High risk</t>
  </si>
  <si>
    <t>0-17 yrs (most likely)</t>
  </si>
  <si>
    <t>18-64 yrs (most likely)</t>
  </si>
  <si>
    <t>65+ yrs (most likely)</t>
  </si>
  <si>
    <t>TOTAL: (most likely)</t>
  </si>
  <si>
    <t>Fatality rate</t>
  </si>
  <si>
    <t>Percent Hospitalizations</t>
  </si>
  <si>
    <t>Percent Outpatient Visits</t>
  </si>
  <si>
    <t>weighted average</t>
  </si>
  <si>
    <t>Default values</t>
  </si>
  <si>
    <t>Instructions</t>
  </si>
  <si>
    <t>3. Review any calculated values, in green.</t>
  </si>
  <si>
    <t>1. Fill in all cells that are white.</t>
  </si>
  <si>
    <t xml:space="preserve">    If you choose to use the default values, </t>
  </si>
  <si>
    <t xml:space="preserve">      press the appropriate button.</t>
  </si>
  <si>
    <t>4. To navigate forward press:</t>
  </si>
  <si>
    <t>5. To navigate backward press:</t>
  </si>
  <si>
    <t xml:space="preserve">    Sources for the default values are provided </t>
  </si>
  <si>
    <t xml:space="preserve">       in the text boxes to the right of the values.</t>
  </si>
  <si>
    <t>Set percentages define population considered at "high risk" (cases)</t>
  </si>
  <si>
    <t>Set percentages define population considered at "high risk" (hospitalizations/deaths)</t>
  </si>
  <si>
    <t>USE DEFAULT VALUES</t>
  </si>
  <si>
    <t>NEXT</t>
  </si>
  <si>
    <t>BACK</t>
  </si>
  <si>
    <t>2. If necessary, review the default values</t>
  </si>
  <si>
    <t>Case-fatality (PERCENT DEATHS: DEATHS/CASES)</t>
  </si>
  <si>
    <t>Case-hospitalization (PERCENT HOSPITALIZATIONS: HOSPITALIZATIONS/CASES)</t>
  </si>
  <si>
    <t>ATTACK RATES</t>
  </si>
  <si>
    <t>NOTE: The default values are based on US national data</t>
  </si>
  <si>
    <t>Estimated number of cases</t>
  </si>
  <si>
    <t>Estimated rate, per 100,000**</t>
  </si>
  <si>
    <t>% distribution</t>
  </si>
  <si>
    <t>90% Range</t>
  </si>
  <si>
    <t>Total Cases*</t>
  </si>
  <si>
    <t>598 – 1,868</t>
  </si>
  <si>
    <t>0-4 yrs</t>
  </si>
  <si>
    <t>1,122 – 3,505</t>
  </si>
  <si>
    <t>5-24 yrs</t>
  </si>
  <si>
    <t>1,317 – 4,115</t>
  </si>
  <si>
    <t>25-49 yrs</t>
  </si>
  <si>
    <t>346 – 1,081</t>
  </si>
  <si>
    <t>192 – 599</t>
  </si>
  <si>
    <t>64 – 201</t>
  </si>
  <si>
    <t>Hospitalized cases*</t>
  </si>
  <si>
    <t>3.0 – 7.0</t>
  </si>
  <si>
    <t>8.8 – 20.2</t>
  </si>
  <si>
    <t>4.1 – 9.3</t>
  </si>
  <si>
    <t>2.2 – 5.0</t>
  </si>
  <si>
    <t>2.3 – 5.2</t>
  </si>
  <si>
    <t>1.1 – 2.6</t>
  </si>
  <si>
    <t>Deaths as % of hospitals;</t>
  </si>
  <si>
    <t>distribution of deaths</t>
  </si>
  <si>
    <t>Case-Hospitalization</t>
  </si>
  <si>
    <t>90% Upper</t>
  </si>
  <si>
    <t>Case-Fatality</t>
  </si>
  <si>
    <t>20-64 yrs old (rate)</t>
  </si>
  <si>
    <t>65 + yrs old (rate)</t>
  </si>
  <si>
    <t>0-19 yrs old (rate)</t>
  </si>
  <si>
    <t>Non-high risk"</t>
  </si>
  <si>
    <t>Lower</t>
  </si>
  <si>
    <t>Upper</t>
  </si>
  <si>
    <t>Mid point</t>
  </si>
  <si>
    <t>Source: meltzer et al. Emerg Infetc Dis, 1999:5:659-672: Appendix II: Table 3.</t>
  </si>
  <si>
    <t>Outpatient rates: 1968 type scenario.</t>
  </si>
  <si>
    <t>50-64 years</t>
  </si>
  <si>
    <t>hospitals: % high risk</t>
  </si>
  <si>
    <t>TOTAL</t>
  </si>
  <si>
    <t>Total cases</t>
  </si>
  <si>
    <t xml:space="preserve">TOTAL: </t>
  </si>
  <si>
    <t>% High risk*</t>
  </si>
  <si>
    <t>CASES</t>
  </si>
  <si>
    <t>Note: High risk % is as per user entered (page 5 of 14). Total is a weighted average.</t>
  </si>
  <si>
    <t>Senstivity analysis</t>
  </si>
  <si>
    <t>United States (50 states and District of Columbia)</t>
  </si>
  <si>
    <t>Actual lab confirmed deaths reported to CDC through July 23, 2009: Sept 29</t>
  </si>
  <si>
    <t>Count updated on Sept 29, 2009</t>
  </si>
  <si>
    <t>Software to Aid State and Local Planners with Estimating the State Level Impact of 2009 H1N1 Influenza</t>
  </si>
  <si>
    <t>lower</t>
  </si>
  <si>
    <t>upper</t>
  </si>
  <si>
    <t>total: lower</t>
  </si>
  <si>
    <t>total: upper</t>
  </si>
  <si>
    <t>total lower</t>
  </si>
  <si>
    <t>total upper</t>
  </si>
  <si>
    <t>Date this version: December 18, 2009</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</si>
</sst>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E+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
    <numFmt numFmtId="172" formatCode="_(* #,##0.0_);_(* \(#,##0.0\);_(* &quot;-&quot;??_);_(@_)"/>
    <numFmt numFmtId="173" formatCode="_(* #,##0_);_(* \(#,##0\);_(* &quot;-&quot;??_);_(@_)"/>
    <numFmt numFmtId="174" formatCode="_(* #,##0.000_);_(* \(#,##0.000\);_(* &quot;-&quot;??_);_(@_)"/>
    <numFmt numFmtId="175" formatCode="_(* #,##0.0000_);_(* \(#,##0.0000\);_(* &quot;-&quot;??_);_(@_)"/>
    <numFmt numFmtId="176" formatCode="0.000%"/>
    <numFmt numFmtId="177" formatCode="0.0000%"/>
    <numFmt numFmtId="178" formatCode="_(* #,##0.0_);_(* \(#,##0.0\);_(* &quot;-&quot;?_);_(@_)"/>
    <numFmt numFmtId="179" formatCode="_(* #,##0.00000_);_(* \(#,##0.00000\);_(* &quot;-&quot;??_);_(@_)"/>
    <numFmt numFmtId="180" formatCode="_(* #,##0.000000_);_(* \(#,##0.000000\);_(* &quot;-&quot;??_);_(@_)"/>
    <numFmt numFmtId="181" formatCode="_(* #,##0.0000000_);_(* \(#,##0.0000000\);_(* &quot;-&quot;??_);_(@_)"/>
    <numFmt numFmtId="182" formatCode="_(* #,##0.00000000_);_(* \(#,##0.00000000\);_(* &quot;-&quot;??_);_(@_)"/>
    <numFmt numFmtId="183" formatCode="0.0000000000000%"/>
    <numFmt numFmtId="184" formatCode="0.0000"/>
    <numFmt numFmtId="185" formatCode="0.00000"/>
    <numFmt numFmtId="186" formatCode="0.000000"/>
  </numFmts>
  <fonts count="84">
    <font>
      <sz val="10"/>
      <name val="Arial"/>
      <family val="0"/>
    </font>
    <font>
      <b/>
      <sz val="10"/>
      <name val="Arial"/>
      <family val="2"/>
    </font>
    <font>
      <b/>
      <sz val="18"/>
      <name val="Arial"/>
      <family val="2"/>
    </font>
    <font>
      <b/>
      <sz val="26"/>
      <name val="Arial"/>
      <family val="2"/>
    </font>
    <font>
      <b/>
      <sz val="14"/>
      <name val="Arial"/>
      <family val="2"/>
    </font>
    <font>
      <u val="single"/>
      <sz val="10"/>
      <color indexed="12"/>
      <name val="Arial"/>
      <family val="0"/>
    </font>
    <font>
      <b/>
      <u val="single"/>
      <sz val="14"/>
      <name val="Arial"/>
      <family val="2"/>
    </font>
    <font>
      <b/>
      <u val="single"/>
      <sz val="10"/>
      <name val="Arial"/>
      <family val="2"/>
    </font>
    <font>
      <b/>
      <sz val="12"/>
      <name val="Arial"/>
      <family val="2"/>
    </font>
    <font>
      <sz val="10"/>
      <color indexed="10"/>
      <name val="Arial"/>
      <family val="0"/>
    </font>
    <font>
      <b/>
      <u val="single"/>
      <sz val="12"/>
      <name val="Arial"/>
      <family val="2"/>
    </font>
    <font>
      <u val="single"/>
      <sz val="10"/>
      <color indexed="36"/>
      <name val="Arial"/>
      <family val="0"/>
    </font>
    <font>
      <sz val="12"/>
      <name val="Arial"/>
      <family val="0"/>
    </font>
    <font>
      <u val="single"/>
      <sz val="10"/>
      <name val="Arial"/>
      <family val="0"/>
    </font>
    <font>
      <i/>
      <u val="single"/>
      <sz val="12"/>
      <name val="Arial"/>
      <family val="2"/>
    </font>
    <font>
      <sz val="10"/>
      <color indexed="14"/>
      <name val="Arial"/>
      <family val="2"/>
    </font>
    <font>
      <sz val="18"/>
      <name val="Arial"/>
      <family val="0"/>
    </font>
    <font>
      <b/>
      <i/>
      <sz val="10"/>
      <name val="Arial"/>
      <family val="2"/>
    </font>
    <font>
      <sz val="10"/>
      <color indexed="57"/>
      <name val="Arial"/>
      <family val="2"/>
    </font>
    <font>
      <sz val="10"/>
      <color indexed="12"/>
      <name val="Arial"/>
      <family val="2"/>
    </font>
    <font>
      <b/>
      <sz val="12"/>
      <color indexed="57"/>
      <name val="Arial"/>
      <family val="2"/>
    </font>
    <font>
      <sz val="16"/>
      <name val="Arial"/>
      <family val="0"/>
    </font>
    <font>
      <sz val="14"/>
      <name val="Arial"/>
      <family val="0"/>
    </font>
    <font>
      <b/>
      <u val="single"/>
      <sz val="20"/>
      <name val="Arial"/>
      <family val="2"/>
    </font>
    <font>
      <b/>
      <sz val="14"/>
      <color indexed="57"/>
      <name val="Arial"/>
      <family val="2"/>
    </font>
    <font>
      <b/>
      <sz val="20"/>
      <color indexed="57"/>
      <name val="Arial"/>
      <family val="2"/>
    </font>
    <font>
      <b/>
      <sz val="16"/>
      <color indexed="57"/>
      <name val="Arial"/>
      <family val="2"/>
    </font>
    <font>
      <b/>
      <sz val="24"/>
      <color indexed="57"/>
      <name val="Times New Roman"/>
      <family val="1"/>
    </font>
    <font>
      <b/>
      <sz val="13.5"/>
      <color indexed="57"/>
      <name val="Arial"/>
      <family val="2"/>
    </font>
    <font>
      <sz val="10.5"/>
      <name val="Arial"/>
      <family val="2"/>
    </font>
    <font>
      <b/>
      <sz val="10.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5"/>
      <color indexed="16"/>
      <name val="Arial"/>
      <family val="0"/>
    </font>
    <font>
      <b/>
      <sz val="20"/>
      <color indexed="8"/>
      <name val="Arial"/>
      <family val="0"/>
    </font>
    <font>
      <sz val="10"/>
      <color indexed="8"/>
      <name val="Arial"/>
      <family val="0"/>
    </font>
    <font>
      <sz val="16"/>
      <color indexed="8"/>
      <name val="Arial"/>
      <family val="0"/>
    </font>
    <font>
      <b/>
      <sz val="12"/>
      <color indexed="8"/>
      <name val="Arial"/>
      <family val="0"/>
    </font>
    <font>
      <b/>
      <sz val="16"/>
      <color indexed="8"/>
      <name val="Arial"/>
      <family val="0"/>
    </font>
    <font>
      <sz val="15.25"/>
      <color indexed="8"/>
      <name val="Arial"/>
      <family val="0"/>
    </font>
    <font>
      <b/>
      <sz val="10"/>
      <color indexed="8"/>
      <name val="Arial"/>
      <family val="0"/>
    </font>
    <font>
      <b/>
      <sz val="18.25"/>
      <color indexed="8"/>
      <name val="Arial"/>
      <family val="0"/>
    </font>
    <font>
      <b/>
      <sz val="11"/>
      <color indexed="8"/>
      <name val="Arial"/>
      <family val="0"/>
    </font>
    <font>
      <sz val="14.5"/>
      <color indexed="8"/>
      <name val="Arial"/>
      <family val="0"/>
    </font>
    <font>
      <b/>
      <sz val="14.5"/>
      <color indexed="8"/>
      <name val="Arial"/>
      <family val="0"/>
    </font>
    <font>
      <b/>
      <sz val="13.75"/>
      <color indexed="8"/>
      <name val="Arial"/>
      <family val="0"/>
    </font>
    <font>
      <sz val="8.75"/>
      <color indexed="8"/>
      <name val="Arial"/>
      <family val="0"/>
    </font>
    <font>
      <b/>
      <sz val="8"/>
      <color indexed="8"/>
      <name val="Arial"/>
      <family val="0"/>
    </font>
    <font>
      <b/>
      <sz val="8.75"/>
      <color indexed="8"/>
      <name val="Arial"/>
      <family val="0"/>
    </font>
    <font>
      <b/>
      <sz val="8.5"/>
      <color indexed="8"/>
      <name val="Arial"/>
      <family val="0"/>
    </font>
    <font>
      <b/>
      <sz val="7.35"/>
      <color indexed="8"/>
      <name val="Arial"/>
      <family val="0"/>
    </font>
    <font>
      <sz val="13"/>
      <color indexed="8"/>
      <name val="Arial"/>
      <family val="0"/>
    </font>
    <font>
      <sz val="12"/>
      <color indexed="8"/>
      <name val="Arial"/>
      <family val="0"/>
    </font>
    <font>
      <sz val="14"/>
      <color indexed="8"/>
      <name val="Arial"/>
      <family val="0"/>
    </font>
    <font>
      <b/>
      <sz val="14"/>
      <color indexed="8"/>
      <name val="Arial"/>
      <family val="0"/>
    </font>
    <font>
      <b/>
      <sz val="11.25"/>
      <color indexed="8"/>
      <name val="Arial"/>
      <family val="0"/>
    </font>
    <font>
      <b/>
      <sz val="15.5"/>
      <color indexed="8"/>
      <name val="Arial"/>
      <family val="0"/>
    </font>
    <font>
      <b/>
      <sz val="16.5"/>
      <color indexed="8"/>
      <name val="Arial"/>
      <family val="0"/>
    </font>
    <font>
      <sz val="15.5"/>
      <color indexed="8"/>
      <name val="Arial"/>
      <family val="0"/>
    </font>
    <font>
      <sz val="14.25"/>
      <color indexed="8"/>
      <name val="Arial"/>
      <family val="0"/>
    </font>
    <font>
      <b/>
      <sz val="11.75"/>
      <color indexed="8"/>
      <name val="Arial"/>
      <family val="0"/>
    </font>
    <font>
      <b/>
      <sz val="14.25"/>
      <color indexed="8"/>
      <name val="Arial"/>
      <family val="0"/>
    </font>
    <font>
      <b/>
      <sz val="10.8"/>
      <color indexed="8"/>
      <name val="Arial"/>
      <family val="0"/>
    </font>
    <font>
      <i/>
      <sz val="10"/>
      <name val="Arial"/>
      <family val="0"/>
    </font>
    <font>
      <sz val="11"/>
      <name val="Arial"/>
      <family val="0"/>
    </font>
    <font>
      <b/>
      <sz val="15"/>
      <color indexed="8"/>
      <name val="Arial"/>
      <family val="2"/>
    </font>
    <font>
      <sz val="19"/>
      <name val="Arial"/>
      <family val="0"/>
    </font>
    <font>
      <sz val="8"/>
      <name val="Tahoma"/>
      <family val="2"/>
    </font>
    <font>
      <sz val="5"/>
      <color indexed="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
      <patternFill patternType="solid">
        <fgColor indexed="9"/>
        <bgColor indexed="64"/>
      </patternFill>
    </fill>
    <fill>
      <patternFill patternType="gray125">
        <fgColor indexed="9"/>
        <bgColor indexed="9"/>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style="thick"/>
      <right>
        <color indexed="63"/>
      </right>
      <top>
        <color indexed="63"/>
      </top>
      <bottom>
        <color indexed="63"/>
      </bottom>
    </border>
    <border>
      <left>
        <color indexed="63"/>
      </left>
      <right>
        <color indexed="63"/>
      </right>
      <top>
        <color indexed="63"/>
      </top>
      <bottom style="thick"/>
    </border>
    <border>
      <left style="thick"/>
      <right>
        <color indexed="63"/>
      </right>
      <top>
        <color indexed="63"/>
      </top>
      <bottom style="thick"/>
    </border>
    <border>
      <left>
        <color indexed="63"/>
      </left>
      <right>
        <color indexed="63"/>
      </right>
      <top style="thick"/>
      <bottom>
        <color indexed="63"/>
      </bottom>
    </border>
    <border>
      <left>
        <color indexed="63"/>
      </left>
      <right style="thick"/>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style="thick"/>
      <bottom>
        <color indexed="63"/>
      </bottom>
    </border>
    <border>
      <left>
        <color indexed="63"/>
      </left>
      <right style="thick"/>
      <top>
        <color indexed="63"/>
      </top>
      <bottom style="thick"/>
    </border>
    <border>
      <left style="thick"/>
      <right>
        <color indexed="63"/>
      </right>
      <top style="thick"/>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ck"/>
    </border>
    <border>
      <left>
        <color indexed="63"/>
      </left>
      <right style="medium"/>
      <top>
        <color indexed="63"/>
      </top>
      <bottom style="thick"/>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36" fillId="3" borderId="0" applyNumberFormat="0" applyBorder="0" applyAlignment="0" applyProtection="0"/>
    <xf numFmtId="0" fontId="40" fillId="20" borderId="1" applyNumberFormat="0" applyAlignment="0" applyProtection="0"/>
    <xf numFmtId="0" fontId="4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35"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8" fillId="7" borderId="1" applyNumberFormat="0" applyAlignment="0" applyProtection="0"/>
    <xf numFmtId="0" fontId="41"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45" fillId="0" borderId="9" applyNumberFormat="0" applyFill="0" applyAlignment="0" applyProtection="0"/>
    <xf numFmtId="0" fontId="43" fillId="0" borderId="0" applyNumberFormat="0" applyFill="0" applyBorder="0" applyAlignment="0" applyProtection="0"/>
  </cellStyleXfs>
  <cellXfs count="419">
    <xf numFmtId="0" fontId="0" fillId="0" borderId="0" xfId="0" applyAlignment="1">
      <alignment/>
    </xf>
    <xf numFmtId="0" fontId="0" fillId="18" borderId="0" xfId="0" applyFill="1" applyAlignment="1">
      <alignment/>
    </xf>
    <xf numFmtId="0" fontId="3" fillId="18" borderId="0" xfId="0" applyFont="1" applyFill="1" applyAlignment="1">
      <alignment wrapText="1"/>
    </xf>
    <xf numFmtId="0" fontId="4" fillId="18" borderId="0" xfId="0" applyFont="1" applyFill="1" applyAlignment="1">
      <alignment/>
    </xf>
    <xf numFmtId="0" fontId="4" fillId="18" borderId="0" xfId="53" applyFont="1" applyFill="1" applyAlignment="1" applyProtection="1">
      <alignment/>
      <protection/>
    </xf>
    <xf numFmtId="0" fontId="0" fillId="20" borderId="0" xfId="0" applyFill="1" applyAlignment="1">
      <alignment/>
    </xf>
    <xf numFmtId="0" fontId="0" fillId="20" borderId="0" xfId="0" applyFill="1" applyAlignment="1">
      <alignment horizontal="center"/>
    </xf>
    <xf numFmtId="0" fontId="8" fillId="20" borderId="0" xfId="0" applyFont="1" applyFill="1" applyAlignment="1">
      <alignment/>
    </xf>
    <xf numFmtId="0" fontId="0" fillId="24" borderId="0" xfId="0" applyFill="1" applyAlignment="1">
      <alignment/>
    </xf>
    <xf numFmtId="0" fontId="8" fillId="20" borderId="0" xfId="0" applyFont="1" applyFill="1" applyAlignment="1">
      <alignment horizontal="center"/>
    </xf>
    <xf numFmtId="0" fontId="0" fillId="20" borderId="0" xfId="0" applyFill="1" applyAlignment="1">
      <alignment/>
    </xf>
    <xf numFmtId="0" fontId="8" fillId="20" borderId="0" xfId="0" applyFont="1" applyFill="1" applyAlignment="1">
      <alignment horizontal="center" wrapText="1"/>
    </xf>
    <xf numFmtId="0" fontId="0" fillId="20" borderId="0" xfId="0" applyFont="1" applyFill="1" applyAlignment="1">
      <alignment horizontal="center" wrapText="1"/>
    </xf>
    <xf numFmtId="0" fontId="12" fillId="20" borderId="0" xfId="0" applyFont="1" applyFill="1" applyAlignment="1">
      <alignment/>
    </xf>
    <xf numFmtId="0" fontId="0" fillId="20" borderId="10" xfId="0" applyFill="1" applyBorder="1" applyAlignment="1">
      <alignment horizontal="center"/>
    </xf>
    <xf numFmtId="0" fontId="0" fillId="20" borderId="10" xfId="0" applyFill="1" applyBorder="1" applyAlignment="1">
      <alignment/>
    </xf>
    <xf numFmtId="14" fontId="0" fillId="18" borderId="0" xfId="0" applyNumberFormat="1" applyFill="1" applyAlignment="1">
      <alignment/>
    </xf>
    <xf numFmtId="3" fontId="0" fillId="25" borderId="0" xfId="0" applyNumberFormat="1" applyFill="1" applyAlignment="1">
      <alignment/>
    </xf>
    <xf numFmtId="3" fontId="0" fillId="25" borderId="11" xfId="0" applyNumberFormat="1" applyFill="1" applyBorder="1" applyAlignment="1">
      <alignment/>
    </xf>
    <xf numFmtId="9" fontId="0" fillId="25" borderId="0" xfId="0" applyNumberFormat="1" applyFill="1" applyAlignment="1">
      <alignment horizontal="center"/>
    </xf>
    <xf numFmtId="0" fontId="9" fillId="0" borderId="0" xfId="0" applyFont="1" applyAlignment="1">
      <alignment/>
    </xf>
    <xf numFmtId="0" fontId="1" fillId="0" borderId="0" xfId="0" applyFont="1" applyAlignment="1">
      <alignment/>
    </xf>
    <xf numFmtId="0" fontId="15" fillId="0" borderId="0" xfId="0" applyFont="1" applyAlignment="1">
      <alignment/>
    </xf>
    <xf numFmtId="0" fontId="7" fillId="0" borderId="0" xfId="0" applyFont="1" applyAlignment="1">
      <alignment horizontal="center"/>
    </xf>
    <xf numFmtId="0" fontId="7" fillId="0" borderId="0" xfId="0" applyFont="1" applyFill="1" applyAlignment="1">
      <alignment horizontal="center"/>
    </xf>
    <xf numFmtId="41" fontId="15" fillId="0" borderId="0" xfId="0" applyNumberFormat="1" applyFont="1" applyAlignment="1">
      <alignment horizontal="right"/>
    </xf>
    <xf numFmtId="41" fontId="0" fillId="0" borderId="0" xfId="0" applyNumberFormat="1" applyFont="1" applyAlignment="1">
      <alignment horizontal="right"/>
    </xf>
    <xf numFmtId="164" fontId="15" fillId="0" borderId="0" xfId="0" applyNumberFormat="1" applyFont="1" applyAlignment="1">
      <alignment/>
    </xf>
    <xf numFmtId="164" fontId="0" fillId="0" borderId="0" xfId="0" applyNumberFormat="1" applyAlignment="1">
      <alignment/>
    </xf>
    <xf numFmtId="0" fontId="0" fillId="0" borderId="0" xfId="0" applyFill="1" applyAlignment="1">
      <alignment/>
    </xf>
    <xf numFmtId="0" fontId="8" fillId="25" borderId="0" xfId="0" applyFont="1" applyFill="1" applyAlignment="1">
      <alignment/>
    </xf>
    <xf numFmtId="0" fontId="0" fillId="25" borderId="0" xfId="0" applyFill="1" applyAlignment="1">
      <alignment/>
    </xf>
    <xf numFmtId="0" fontId="7" fillId="25" borderId="0" xfId="0" applyFont="1" applyFill="1" applyAlignment="1">
      <alignment horizontal="center"/>
    </xf>
    <xf numFmtId="0" fontId="7" fillId="25" borderId="11" xfId="0" applyFont="1" applyFill="1" applyBorder="1" applyAlignment="1">
      <alignment horizontal="center"/>
    </xf>
    <xf numFmtId="0" fontId="7" fillId="25" borderId="0" xfId="0" applyFont="1" applyFill="1" applyAlignment="1">
      <alignment/>
    </xf>
    <xf numFmtId="3" fontId="0" fillId="25" borderId="12" xfId="0" applyNumberFormat="1" applyFill="1" applyBorder="1" applyAlignment="1">
      <alignment/>
    </xf>
    <xf numFmtId="3" fontId="0" fillId="25" borderId="13" xfId="0" applyNumberFormat="1" applyFill="1" applyBorder="1" applyAlignment="1">
      <alignment/>
    </xf>
    <xf numFmtId="9" fontId="0" fillId="25" borderId="14" xfId="0" applyNumberFormat="1" applyFill="1" applyBorder="1" applyAlignment="1">
      <alignment horizontal="center"/>
    </xf>
    <xf numFmtId="0" fontId="1" fillId="25" borderId="11" xfId="0" applyFont="1" applyFill="1" applyBorder="1" applyAlignment="1">
      <alignment horizontal="left"/>
    </xf>
    <xf numFmtId="0" fontId="1" fillId="25" borderId="0" xfId="0" applyFont="1" applyFill="1" applyAlignment="1">
      <alignment horizontal="center"/>
    </xf>
    <xf numFmtId="0" fontId="1" fillId="25" borderId="11" xfId="0" applyFont="1" applyFill="1" applyBorder="1" applyAlignment="1">
      <alignment horizontal="center"/>
    </xf>
    <xf numFmtId="0" fontId="1" fillId="25" borderId="12" xfId="0" applyFont="1" applyFill="1" applyBorder="1" applyAlignment="1">
      <alignment horizontal="center"/>
    </xf>
    <xf numFmtId="3" fontId="12" fillId="25" borderId="0" xfId="0" applyNumberFormat="1" applyFont="1" applyFill="1" applyBorder="1" applyAlignment="1">
      <alignment/>
    </xf>
    <xf numFmtId="9" fontId="12" fillId="25" borderId="0" xfId="0" applyNumberFormat="1" applyFont="1" applyFill="1" applyBorder="1" applyAlignment="1">
      <alignment/>
    </xf>
    <xf numFmtId="9" fontId="12" fillId="25" borderId="0" xfId="0" applyNumberFormat="1" applyFont="1" applyFill="1" applyBorder="1" applyAlignment="1">
      <alignment horizontal="center"/>
    </xf>
    <xf numFmtId="0" fontId="0" fillId="25" borderId="0" xfId="0" applyFill="1" applyAlignment="1">
      <alignment horizontal="right"/>
    </xf>
    <xf numFmtId="3" fontId="0" fillId="25" borderId="0" xfId="0" applyNumberFormat="1" applyFill="1" applyBorder="1" applyAlignment="1">
      <alignment/>
    </xf>
    <xf numFmtId="9" fontId="1" fillId="25" borderId="11" xfId="0" applyNumberFormat="1" applyFont="1" applyFill="1" applyBorder="1" applyAlignment="1">
      <alignment horizontal="center"/>
    </xf>
    <xf numFmtId="9" fontId="12" fillId="25" borderId="12" xfId="0" applyNumberFormat="1" applyFont="1" applyFill="1" applyBorder="1" applyAlignment="1">
      <alignment horizontal="center"/>
    </xf>
    <xf numFmtId="0" fontId="8" fillId="25" borderId="0" xfId="0" applyFont="1" applyFill="1" applyAlignment="1">
      <alignment horizontal="left"/>
    </xf>
    <xf numFmtId="9" fontId="8" fillId="25" borderId="0" xfId="0" applyNumberFormat="1" applyFont="1" applyFill="1" applyBorder="1" applyAlignment="1">
      <alignment horizontal="right"/>
    </xf>
    <xf numFmtId="9" fontId="0" fillId="0" borderId="11" xfId="0" applyNumberFormat="1" applyFill="1" applyBorder="1" applyAlignment="1">
      <alignment horizontal="center"/>
    </xf>
    <xf numFmtId="0" fontId="0" fillId="0" borderId="0" xfId="0" applyFill="1" applyBorder="1" applyAlignment="1">
      <alignment horizontal="right"/>
    </xf>
    <xf numFmtId="9" fontId="0" fillId="0" borderId="0" xfId="0" applyNumberFormat="1" applyFill="1" applyBorder="1" applyAlignment="1">
      <alignment horizontal="center"/>
    </xf>
    <xf numFmtId="0" fontId="0" fillId="0" borderId="11" xfId="0" applyFill="1" applyBorder="1" applyAlignment="1">
      <alignment/>
    </xf>
    <xf numFmtId="10" fontId="15" fillId="0" borderId="0" xfId="59" applyNumberFormat="1" applyFont="1" applyAlignment="1">
      <alignment/>
    </xf>
    <xf numFmtId="3" fontId="8" fillId="25" borderId="14" xfId="0" applyNumberFormat="1" applyFont="1" applyFill="1" applyBorder="1" applyAlignment="1">
      <alignment horizontal="right"/>
    </xf>
    <xf numFmtId="3" fontId="0" fillId="25" borderId="0" xfId="0" applyNumberFormat="1" applyFont="1" applyFill="1" applyBorder="1" applyAlignment="1">
      <alignment horizontal="right"/>
    </xf>
    <xf numFmtId="3" fontId="0" fillId="25" borderId="15" xfId="0" applyNumberFormat="1" applyFont="1" applyFill="1" applyBorder="1" applyAlignment="1">
      <alignment horizontal="right"/>
    </xf>
    <xf numFmtId="0" fontId="0" fillId="0" borderId="0" xfId="0" applyAlignment="1">
      <alignment horizontal="center"/>
    </xf>
    <xf numFmtId="0" fontId="0" fillId="0" borderId="0" xfId="0" applyFont="1" applyAlignment="1">
      <alignment/>
    </xf>
    <xf numFmtId="9" fontId="15" fillId="0" borderId="0" xfId="0" applyNumberFormat="1" applyFont="1" applyAlignment="1">
      <alignment/>
    </xf>
    <xf numFmtId="0" fontId="1" fillId="0" borderId="0" xfId="0" applyFont="1" applyAlignment="1">
      <alignment horizontal="right"/>
    </xf>
    <xf numFmtId="0" fontId="0" fillId="0" borderId="0" xfId="0" applyAlignment="1">
      <alignment horizontal="right"/>
    </xf>
    <xf numFmtId="0" fontId="7" fillId="0" borderId="0" xfId="0" applyFont="1" applyAlignment="1">
      <alignment horizontal="left"/>
    </xf>
    <xf numFmtId="0" fontId="7" fillId="0" borderId="0" xfId="0" applyFont="1" applyAlignment="1">
      <alignment horizontal="right"/>
    </xf>
    <xf numFmtId="41" fontId="0" fillId="0" borderId="0" xfId="0" applyNumberFormat="1" applyFont="1" applyAlignment="1">
      <alignment/>
    </xf>
    <xf numFmtId="0" fontId="1" fillId="0" borderId="0" xfId="0" applyFont="1" applyAlignment="1">
      <alignment horizontal="left"/>
    </xf>
    <xf numFmtId="41" fontId="1" fillId="0" borderId="0" xfId="0" applyNumberFormat="1" applyFont="1" applyAlignment="1">
      <alignment horizontal="right"/>
    </xf>
    <xf numFmtId="0" fontId="0" fillId="4" borderId="16" xfId="0" applyFont="1" applyFill="1" applyBorder="1" applyAlignment="1">
      <alignment/>
    </xf>
    <xf numFmtId="0" fontId="0" fillId="4" borderId="16" xfId="0" applyFont="1" applyFill="1" applyBorder="1" applyAlignment="1">
      <alignment wrapText="1"/>
    </xf>
    <xf numFmtId="49" fontId="0" fillId="4" borderId="16" xfId="0" applyNumberFormat="1" applyFont="1" applyFill="1" applyBorder="1" applyAlignment="1">
      <alignment wrapText="1"/>
    </xf>
    <xf numFmtId="0" fontId="0" fillId="22" borderId="16" xfId="0" applyFill="1" applyBorder="1" applyAlignment="1">
      <alignment/>
    </xf>
    <xf numFmtId="0" fontId="0" fillId="0" borderId="16" xfId="0" applyBorder="1" applyAlignment="1">
      <alignment wrapText="1"/>
    </xf>
    <xf numFmtId="171" fontId="0" fillId="0" borderId="16" xfId="0" applyNumberFormat="1" applyBorder="1" applyAlignment="1">
      <alignment/>
    </xf>
    <xf numFmtId="1" fontId="0" fillId="0" borderId="16" xfId="0" applyNumberFormat="1" applyBorder="1" applyAlignment="1">
      <alignment/>
    </xf>
    <xf numFmtId="0" fontId="0" fillId="0" borderId="16" xfId="0" applyBorder="1" applyAlignment="1">
      <alignment/>
    </xf>
    <xf numFmtId="49" fontId="0" fillId="22" borderId="16" xfId="0" applyNumberFormat="1" applyFill="1" applyBorder="1" applyAlignment="1">
      <alignment/>
    </xf>
    <xf numFmtId="49" fontId="0" fillId="0" borderId="0" xfId="0" applyNumberFormat="1" applyAlignment="1">
      <alignment/>
    </xf>
    <xf numFmtId="171" fontId="0" fillId="0" borderId="0" xfId="0" applyNumberFormat="1" applyAlignment="1">
      <alignment/>
    </xf>
    <xf numFmtId="0" fontId="0" fillId="0" borderId="0" xfId="0" applyFont="1" applyAlignment="1">
      <alignment/>
    </xf>
    <xf numFmtId="164" fontId="0" fillId="0" borderId="0" xfId="59" applyNumberFormat="1" applyAlignment="1">
      <alignment/>
    </xf>
    <xf numFmtId="9" fontId="0" fillId="0" borderId="0" xfId="0" applyNumberFormat="1" applyAlignment="1">
      <alignment/>
    </xf>
    <xf numFmtId="16" fontId="0" fillId="0" borderId="0" xfId="0" applyNumberFormat="1" applyAlignment="1">
      <alignment/>
    </xf>
    <xf numFmtId="49" fontId="0" fillId="0" borderId="0" xfId="0" applyNumberFormat="1" applyAlignment="1">
      <alignment wrapText="1"/>
    </xf>
    <xf numFmtId="1" fontId="0" fillId="0" borderId="0" xfId="0" applyNumberFormat="1" applyAlignment="1">
      <alignment/>
    </xf>
    <xf numFmtId="171" fontId="0" fillId="0" borderId="0" xfId="0" applyNumberFormat="1" applyAlignment="1">
      <alignment horizontal="right"/>
    </xf>
    <xf numFmtId="0" fontId="0" fillId="11" borderId="0" xfId="0" applyFill="1" applyAlignment="1">
      <alignment/>
    </xf>
    <xf numFmtId="173" fontId="0" fillId="0" borderId="0" xfId="0" applyNumberFormat="1" applyAlignment="1">
      <alignment horizontal="center"/>
    </xf>
    <xf numFmtId="173" fontId="17" fillId="0" borderId="0" xfId="42" applyNumberFormat="1" applyFont="1" applyAlignment="1">
      <alignment horizontal="center"/>
    </xf>
    <xf numFmtId="173" fontId="0" fillId="0" borderId="0" xfId="42" applyNumberFormat="1" applyAlignment="1">
      <alignment/>
    </xf>
    <xf numFmtId="173" fontId="0" fillId="0" borderId="0" xfId="42" applyNumberFormat="1" applyAlignment="1">
      <alignment horizontal="center"/>
    </xf>
    <xf numFmtId="173" fontId="0" fillId="0" borderId="0" xfId="0" applyNumberFormat="1" applyAlignment="1">
      <alignment/>
    </xf>
    <xf numFmtId="175" fontId="0" fillId="0" borderId="0" xfId="0" applyNumberFormat="1" applyAlignment="1">
      <alignment/>
    </xf>
    <xf numFmtId="173" fontId="0" fillId="0" borderId="0" xfId="42" applyNumberFormat="1" applyFont="1" applyAlignment="1">
      <alignment/>
    </xf>
    <xf numFmtId="0" fontId="18" fillId="0" borderId="0" xfId="0" applyFont="1" applyAlignment="1">
      <alignment/>
    </xf>
    <xf numFmtId="41" fontId="18" fillId="0" borderId="0" xfId="0" applyNumberFormat="1" applyFont="1" applyAlignment="1">
      <alignment horizontal="right"/>
    </xf>
    <xf numFmtId="164" fontId="18" fillId="0" borderId="0" xfId="0" applyNumberFormat="1" applyFont="1" applyAlignment="1">
      <alignment/>
    </xf>
    <xf numFmtId="176" fontId="18" fillId="0" borderId="0" xfId="59" applyNumberFormat="1" applyFont="1" applyAlignment="1">
      <alignment/>
    </xf>
    <xf numFmtId="10" fontId="18" fillId="0" borderId="0" xfId="59" applyNumberFormat="1" applyFont="1" applyAlignment="1">
      <alignment/>
    </xf>
    <xf numFmtId="9" fontId="18" fillId="0" borderId="0" xfId="0" applyNumberFormat="1" applyFont="1" applyAlignment="1">
      <alignment/>
    </xf>
    <xf numFmtId="0" fontId="19" fillId="0" borderId="0" xfId="0" applyFont="1" applyAlignment="1">
      <alignment/>
    </xf>
    <xf numFmtId="14" fontId="15" fillId="0" borderId="0" xfId="0" applyNumberFormat="1" applyFont="1" applyAlignment="1">
      <alignment/>
    </xf>
    <xf numFmtId="18" fontId="15" fillId="0" borderId="0" xfId="0" applyNumberFormat="1" applyFont="1" applyAlignment="1">
      <alignment/>
    </xf>
    <xf numFmtId="10" fontId="0" fillId="20" borderId="17" xfId="59" applyNumberFormat="1" applyFont="1" applyFill="1" applyBorder="1" applyAlignment="1">
      <alignment horizontal="center" vertical="center"/>
    </xf>
    <xf numFmtId="10" fontId="0" fillId="20" borderId="10" xfId="59" applyNumberFormat="1" applyFont="1" applyFill="1" applyBorder="1" applyAlignment="1">
      <alignment horizontal="center" vertical="center"/>
    </xf>
    <xf numFmtId="10" fontId="0" fillId="20" borderId="0" xfId="59" applyNumberFormat="1" applyFont="1" applyFill="1" applyAlignment="1">
      <alignment horizontal="center" vertical="center"/>
    </xf>
    <xf numFmtId="173" fontId="0" fillId="24" borderId="14" xfId="42" applyNumberFormat="1" applyFill="1" applyBorder="1" applyAlignment="1">
      <alignment horizontal="center"/>
    </xf>
    <xf numFmtId="164" fontId="0" fillId="24" borderId="14" xfId="59" applyNumberFormat="1" applyFill="1" applyBorder="1" applyAlignment="1">
      <alignment horizontal="center"/>
    </xf>
    <xf numFmtId="176" fontId="0" fillId="24" borderId="12" xfId="59" applyNumberFormat="1" applyFill="1" applyBorder="1" applyAlignment="1">
      <alignment horizontal="center"/>
    </xf>
    <xf numFmtId="1" fontId="0" fillId="24" borderId="12" xfId="59" applyNumberFormat="1" applyFill="1" applyBorder="1" applyAlignment="1">
      <alignment horizontal="center"/>
    </xf>
    <xf numFmtId="176" fontId="13" fillId="24" borderId="0" xfId="59" applyNumberFormat="1" applyFont="1" applyFill="1" applyBorder="1" applyAlignment="1">
      <alignment horizontal="center"/>
    </xf>
    <xf numFmtId="1" fontId="0" fillId="24" borderId="0" xfId="59" applyNumberFormat="1" applyFill="1" applyBorder="1" applyAlignment="1">
      <alignment horizontal="center"/>
    </xf>
    <xf numFmtId="176" fontId="0" fillId="24" borderId="12" xfId="59" applyNumberFormat="1" applyFill="1" applyBorder="1" applyAlignment="1">
      <alignment/>
    </xf>
    <xf numFmtId="176" fontId="0" fillId="24" borderId="12" xfId="59" applyNumberFormat="1" applyFont="1" applyFill="1" applyBorder="1" applyAlignment="1">
      <alignment horizontal="center"/>
    </xf>
    <xf numFmtId="164" fontId="0" fillId="24" borderId="12" xfId="59" applyNumberFormat="1" applyFill="1" applyBorder="1" applyAlignment="1">
      <alignment/>
    </xf>
    <xf numFmtId="173" fontId="0" fillId="24" borderId="12" xfId="42" applyNumberFormat="1" applyFont="1" applyFill="1" applyBorder="1" applyAlignment="1">
      <alignment horizontal="center"/>
    </xf>
    <xf numFmtId="173" fontId="0" fillId="24" borderId="12" xfId="42" applyNumberFormat="1" applyFill="1" applyBorder="1" applyAlignment="1">
      <alignment horizontal="center"/>
    </xf>
    <xf numFmtId="0" fontId="0" fillId="20" borderId="0" xfId="0" applyFill="1" applyBorder="1" applyAlignment="1">
      <alignment/>
    </xf>
    <xf numFmtId="0" fontId="0" fillId="20" borderId="0" xfId="0" applyFill="1" applyBorder="1" applyAlignment="1">
      <alignment/>
    </xf>
    <xf numFmtId="0" fontId="0" fillId="20" borderId="0" xfId="0" applyFill="1" applyBorder="1" applyAlignment="1">
      <alignment horizontal="center"/>
    </xf>
    <xf numFmtId="0" fontId="0" fillId="20" borderId="17" xfId="0" applyFill="1" applyBorder="1" applyAlignment="1">
      <alignment horizontal="center"/>
    </xf>
    <xf numFmtId="0" fontId="1" fillId="20" borderId="0" xfId="0" applyFont="1" applyFill="1" applyAlignment="1">
      <alignment horizontal="center"/>
    </xf>
    <xf numFmtId="0" fontId="0" fillId="20" borderId="0" xfId="0" applyFill="1" applyAlignment="1">
      <alignment horizontal="right"/>
    </xf>
    <xf numFmtId="9" fontId="1" fillId="18" borderId="18" xfId="59" applyFont="1" applyFill="1" applyBorder="1" applyAlignment="1">
      <alignment horizontal="center"/>
    </xf>
    <xf numFmtId="10" fontId="0" fillId="20" borderId="0" xfId="0" applyNumberFormat="1" applyFill="1" applyAlignment="1">
      <alignment horizontal="center"/>
    </xf>
    <xf numFmtId="10" fontId="0" fillId="20" borderId="17" xfId="59" applyNumberFormat="1" applyFill="1" applyBorder="1" applyAlignment="1">
      <alignment horizontal="center"/>
    </xf>
    <xf numFmtId="10" fontId="0" fillId="20" borderId="10" xfId="59" applyNumberFormat="1" applyFill="1" applyBorder="1" applyAlignment="1">
      <alignment horizontal="center"/>
    </xf>
    <xf numFmtId="10" fontId="0" fillId="20" borderId="0" xfId="59" applyNumberFormat="1" applyFill="1" applyAlignment="1">
      <alignment horizontal="center"/>
    </xf>
    <xf numFmtId="0" fontId="0" fillId="24" borderId="19" xfId="0" applyFill="1" applyBorder="1" applyAlignment="1">
      <alignment shrinkToFit="1"/>
    </xf>
    <xf numFmtId="41" fontId="0" fillId="24" borderId="20" xfId="0" applyNumberFormat="1" applyFill="1" applyBorder="1" applyAlignment="1">
      <alignment vertical="center" shrinkToFit="1"/>
    </xf>
    <xf numFmtId="0" fontId="0" fillId="24" borderId="21" xfId="0" applyFill="1" applyBorder="1" applyAlignment="1">
      <alignment vertical="center" shrinkToFit="1"/>
    </xf>
    <xf numFmtId="0" fontId="0" fillId="20" borderId="0" xfId="0" applyFill="1" applyAlignment="1">
      <alignment shrinkToFit="1"/>
    </xf>
    <xf numFmtId="0" fontId="0" fillId="11" borderId="19" xfId="0" applyFill="1" applyBorder="1" applyAlignment="1">
      <alignment shrinkToFit="1"/>
    </xf>
    <xf numFmtId="0" fontId="0" fillId="11" borderId="21" xfId="0" applyFill="1" applyBorder="1" applyAlignment="1">
      <alignment vertical="center" shrinkToFit="1"/>
    </xf>
    <xf numFmtId="0" fontId="0" fillId="20" borderId="0" xfId="0" applyFill="1" applyAlignment="1">
      <alignment horizontal="center" shrinkToFit="1"/>
    </xf>
    <xf numFmtId="0" fontId="0" fillId="20" borderId="0" xfId="0" applyFill="1" applyBorder="1" applyAlignment="1">
      <alignment horizontal="center" shrinkToFit="1"/>
    </xf>
    <xf numFmtId="0" fontId="9" fillId="20" borderId="0" xfId="0" applyFont="1" applyFill="1" applyAlignment="1">
      <alignment horizontal="center" shrinkToFit="1"/>
    </xf>
    <xf numFmtId="0" fontId="1" fillId="18" borderId="19" xfId="0" applyFont="1" applyFill="1" applyBorder="1" applyAlignment="1">
      <alignment shrinkToFit="1"/>
    </xf>
    <xf numFmtId="173" fontId="1" fillId="18" borderId="21" xfId="42" applyNumberFormat="1" applyFont="1" applyFill="1" applyBorder="1" applyAlignment="1">
      <alignment vertical="center" shrinkToFit="1"/>
    </xf>
    <xf numFmtId="0" fontId="0" fillId="18" borderId="19" xfId="0" applyFill="1" applyBorder="1" applyAlignment="1">
      <alignment shrinkToFit="1"/>
    </xf>
    <xf numFmtId="41" fontId="0" fillId="18" borderId="20" xfId="0" applyNumberFormat="1" applyFill="1" applyBorder="1" applyAlignment="1">
      <alignment vertical="center" shrinkToFit="1"/>
    </xf>
    <xf numFmtId="0" fontId="0" fillId="18" borderId="21" xfId="0" applyFill="1" applyBorder="1" applyAlignment="1">
      <alignment vertical="center" shrinkToFit="1"/>
    </xf>
    <xf numFmtId="0" fontId="8" fillId="20" borderId="0" xfId="0" applyFont="1" applyFill="1" applyAlignment="1">
      <alignment horizontal="right"/>
    </xf>
    <xf numFmtId="0" fontId="12" fillId="20" borderId="0" xfId="0" applyFont="1" applyFill="1" applyAlignment="1">
      <alignment horizontal="right"/>
    </xf>
    <xf numFmtId="0" fontId="8" fillId="20" borderId="12" xfId="0" applyFont="1" applyFill="1" applyBorder="1" applyAlignment="1">
      <alignment horizontal="center"/>
    </xf>
    <xf numFmtId="0" fontId="8" fillId="20" borderId="0" xfId="0" applyFont="1" applyFill="1" applyBorder="1" applyAlignment="1">
      <alignment/>
    </xf>
    <xf numFmtId="0" fontId="0" fillId="26" borderId="0" xfId="0" applyFill="1" applyAlignment="1">
      <alignment/>
    </xf>
    <xf numFmtId="0" fontId="0" fillId="26" borderId="0" xfId="0" applyFill="1" applyAlignment="1">
      <alignment horizontal="center"/>
    </xf>
    <xf numFmtId="0" fontId="21" fillId="20" borderId="0" xfId="0" applyFont="1" applyFill="1" applyAlignment="1">
      <alignment horizontal="center" vertical="center"/>
    </xf>
    <xf numFmtId="9" fontId="21" fillId="11" borderId="18" xfId="59" applyFont="1" applyFill="1" applyBorder="1" applyAlignment="1">
      <alignment horizontal="center" vertical="center"/>
    </xf>
    <xf numFmtId="0" fontId="16" fillId="20" borderId="0" xfId="0" applyFont="1" applyFill="1" applyAlignment="1">
      <alignment horizontal="center" vertical="center"/>
    </xf>
    <xf numFmtId="0" fontId="2" fillId="20" borderId="0" xfId="0" applyFont="1" applyFill="1" applyAlignment="1">
      <alignment horizontal="right" vertical="center"/>
    </xf>
    <xf numFmtId="0" fontId="12" fillId="20" borderId="0" xfId="0" applyFont="1" applyFill="1" applyAlignment="1">
      <alignment horizontal="center"/>
    </xf>
    <xf numFmtId="0" fontId="0" fillId="24" borderId="14" xfId="0" applyFill="1" applyBorder="1" applyAlignment="1">
      <alignment/>
    </xf>
    <xf numFmtId="0" fontId="0" fillId="24" borderId="22" xfId="0" applyFill="1" applyBorder="1" applyAlignment="1">
      <alignment/>
    </xf>
    <xf numFmtId="0" fontId="0" fillId="24" borderId="11" xfId="0" applyFill="1" applyBorder="1" applyAlignment="1">
      <alignment/>
    </xf>
    <xf numFmtId="0" fontId="0" fillId="24" borderId="0" xfId="0" applyFill="1" applyBorder="1" applyAlignment="1">
      <alignment/>
    </xf>
    <xf numFmtId="0" fontId="0" fillId="24" borderId="15" xfId="0" applyFill="1" applyBorder="1" applyAlignment="1">
      <alignment/>
    </xf>
    <xf numFmtId="176" fontId="13" fillId="24" borderId="0" xfId="59" applyNumberFormat="1" applyFont="1" applyFill="1" applyBorder="1" applyAlignment="1">
      <alignment horizontal="center"/>
    </xf>
    <xf numFmtId="176" fontId="0" fillId="24" borderId="0" xfId="59" applyNumberFormat="1" applyFill="1" applyBorder="1" applyAlignment="1">
      <alignment horizontal="center"/>
    </xf>
    <xf numFmtId="173" fontId="0" fillId="24" borderId="0" xfId="42" applyNumberFormat="1" applyFill="1" applyBorder="1" applyAlignment="1">
      <alignment horizontal="center"/>
    </xf>
    <xf numFmtId="164" fontId="0" fillId="24" borderId="0" xfId="59" applyNumberFormat="1" applyFill="1" applyBorder="1" applyAlignment="1">
      <alignment horizontal="center"/>
    </xf>
    <xf numFmtId="0" fontId="0" fillId="24" borderId="13" xfId="0" applyFill="1" applyBorder="1" applyAlignment="1">
      <alignment/>
    </xf>
    <xf numFmtId="0" fontId="0" fillId="24" borderId="12" xfId="0" applyFill="1" applyBorder="1" applyAlignment="1">
      <alignment/>
    </xf>
    <xf numFmtId="0" fontId="0" fillId="24" borderId="23" xfId="0" applyFill="1" applyBorder="1" applyAlignment="1">
      <alignment/>
    </xf>
    <xf numFmtId="176" fontId="0" fillId="24" borderId="0" xfId="59" applyNumberFormat="1" applyFill="1" applyBorder="1" applyAlignment="1">
      <alignment/>
    </xf>
    <xf numFmtId="176" fontId="7" fillId="24" borderId="0" xfId="59" applyNumberFormat="1" applyFont="1" applyFill="1" applyBorder="1" applyAlignment="1">
      <alignment horizontal="center"/>
    </xf>
    <xf numFmtId="176" fontId="0" fillId="24" borderId="23" xfId="59" applyNumberFormat="1" applyFont="1" applyFill="1" applyBorder="1" applyAlignment="1">
      <alignment horizontal="center"/>
    </xf>
    <xf numFmtId="0" fontId="1" fillId="24" borderId="11" xfId="0" applyFont="1" applyFill="1" applyBorder="1" applyAlignment="1">
      <alignment/>
    </xf>
    <xf numFmtId="0" fontId="1" fillId="24" borderId="0" xfId="0" applyFont="1" applyFill="1" applyBorder="1" applyAlignment="1">
      <alignment/>
    </xf>
    <xf numFmtId="173" fontId="1" fillId="24" borderId="0" xfId="42" applyNumberFormat="1" applyFont="1" applyFill="1" applyBorder="1" applyAlignment="1">
      <alignment horizontal="center"/>
    </xf>
    <xf numFmtId="1" fontId="1" fillId="24" borderId="0" xfId="59" applyNumberFormat="1" applyFont="1" applyFill="1" applyBorder="1" applyAlignment="1">
      <alignment horizontal="center"/>
    </xf>
    <xf numFmtId="164" fontId="0" fillId="24" borderId="0" xfId="59" applyNumberFormat="1" applyFill="1" applyBorder="1" applyAlignment="1">
      <alignment/>
    </xf>
    <xf numFmtId="173" fontId="0" fillId="24" borderId="0" xfId="42" applyNumberFormat="1" applyFont="1" applyFill="1" applyBorder="1" applyAlignment="1">
      <alignment horizontal="center"/>
    </xf>
    <xf numFmtId="0" fontId="10" fillId="24" borderId="24" xfId="0" applyFont="1" applyFill="1" applyBorder="1" applyAlignment="1">
      <alignment/>
    </xf>
    <xf numFmtId="0" fontId="14" fillId="24" borderId="11" xfId="0" applyFont="1" applyFill="1" applyBorder="1" applyAlignment="1">
      <alignment/>
    </xf>
    <xf numFmtId="176" fontId="0" fillId="24" borderId="0" xfId="59" applyNumberFormat="1" applyFont="1" applyFill="1" applyBorder="1" applyAlignment="1">
      <alignment/>
    </xf>
    <xf numFmtId="176" fontId="0" fillId="24" borderId="0" xfId="59" applyNumberFormat="1" applyFont="1" applyFill="1" applyBorder="1" applyAlignment="1">
      <alignment horizontal="center"/>
    </xf>
    <xf numFmtId="176" fontId="0" fillId="24" borderId="15" xfId="59" applyNumberFormat="1" applyFont="1" applyFill="1" applyBorder="1" applyAlignment="1">
      <alignment/>
    </xf>
    <xf numFmtId="10" fontId="0" fillId="24" borderId="0" xfId="59" applyNumberFormat="1" applyFont="1" applyFill="1" applyBorder="1" applyAlignment="1">
      <alignment horizontal="center"/>
    </xf>
    <xf numFmtId="10" fontId="0" fillId="24" borderId="0" xfId="59" applyNumberFormat="1" applyFont="1" applyFill="1" applyBorder="1" applyAlignment="1">
      <alignment/>
    </xf>
    <xf numFmtId="10" fontId="0" fillId="24" borderId="15" xfId="59" applyNumberFormat="1" applyFont="1" applyFill="1" applyBorder="1" applyAlignment="1">
      <alignment horizontal="center"/>
    </xf>
    <xf numFmtId="10" fontId="0" fillId="24" borderId="15" xfId="59" applyNumberFormat="1" applyFont="1" applyFill="1" applyBorder="1" applyAlignment="1">
      <alignment/>
    </xf>
    <xf numFmtId="10" fontId="13" fillId="24" borderId="0" xfId="59" applyNumberFormat="1" applyFont="1" applyFill="1" applyBorder="1" applyAlignment="1">
      <alignment horizontal="center"/>
    </xf>
    <xf numFmtId="10" fontId="13" fillId="24" borderId="0" xfId="59" applyNumberFormat="1" applyFont="1" applyFill="1" applyBorder="1" applyAlignment="1">
      <alignment horizontal="center"/>
    </xf>
    <xf numFmtId="10" fontId="13" fillId="24" borderId="15" xfId="59" applyNumberFormat="1" applyFont="1" applyFill="1" applyBorder="1" applyAlignment="1">
      <alignment horizontal="center"/>
    </xf>
    <xf numFmtId="10" fontId="0" fillId="24" borderId="12" xfId="59" applyNumberFormat="1" applyFont="1" applyFill="1" applyBorder="1" applyAlignment="1">
      <alignment horizontal="center"/>
    </xf>
    <xf numFmtId="10" fontId="0" fillId="24" borderId="23" xfId="59" applyNumberFormat="1" applyFont="1" applyFill="1" applyBorder="1" applyAlignment="1">
      <alignment horizontal="center"/>
    </xf>
    <xf numFmtId="10" fontId="0" fillId="24" borderId="14" xfId="59" applyNumberFormat="1" applyFont="1" applyFill="1" applyBorder="1" applyAlignment="1">
      <alignment/>
    </xf>
    <xf numFmtId="10" fontId="0" fillId="24" borderId="22" xfId="59" applyNumberFormat="1" applyFont="1" applyFill="1" applyBorder="1" applyAlignment="1">
      <alignment/>
    </xf>
    <xf numFmtId="176" fontId="0" fillId="24" borderId="0" xfId="0" applyNumberFormat="1" applyFill="1" applyBorder="1" applyAlignment="1">
      <alignment/>
    </xf>
    <xf numFmtId="176" fontId="13" fillId="24" borderId="0" xfId="0" applyNumberFormat="1" applyFont="1" applyFill="1" applyBorder="1" applyAlignment="1">
      <alignment horizontal="center"/>
    </xf>
    <xf numFmtId="176" fontId="0" fillId="24" borderId="0" xfId="0" applyNumberFormat="1" applyFill="1" applyBorder="1" applyAlignment="1">
      <alignment horizontal="center"/>
    </xf>
    <xf numFmtId="176" fontId="13" fillId="24" borderId="0" xfId="0" applyNumberFormat="1" applyFont="1" applyFill="1" applyBorder="1" applyAlignment="1">
      <alignment horizontal="center"/>
    </xf>
    <xf numFmtId="176" fontId="0" fillId="24" borderId="15" xfId="0" applyNumberFormat="1" applyFill="1" applyBorder="1" applyAlignment="1">
      <alignment/>
    </xf>
    <xf numFmtId="0" fontId="1" fillId="24" borderId="24" xfId="0" applyFont="1" applyFill="1" applyBorder="1" applyAlignment="1">
      <alignment/>
    </xf>
    <xf numFmtId="0" fontId="1" fillId="24" borderId="14" xfId="0" applyFont="1" applyFill="1" applyBorder="1" applyAlignment="1">
      <alignment/>
    </xf>
    <xf numFmtId="0" fontId="7" fillId="24" borderId="24" xfId="0" applyFont="1" applyFill="1" applyBorder="1" applyAlignment="1">
      <alignment/>
    </xf>
    <xf numFmtId="0" fontId="13" fillId="24" borderId="0" xfId="0" applyFont="1" applyFill="1" applyBorder="1" applyAlignment="1">
      <alignment/>
    </xf>
    <xf numFmtId="173" fontId="0" fillId="24" borderId="0" xfId="42" applyNumberFormat="1" applyFont="1" applyFill="1" applyBorder="1" applyAlignment="1">
      <alignment horizontal="center"/>
    </xf>
    <xf numFmtId="173" fontId="0" fillId="24" borderId="0" xfId="42" applyNumberFormat="1" applyFont="1" applyFill="1" applyBorder="1" applyAlignment="1">
      <alignment/>
    </xf>
    <xf numFmtId="173" fontId="0" fillId="24" borderId="15" xfId="42" applyNumberFormat="1" applyFont="1" applyFill="1" applyBorder="1" applyAlignment="1">
      <alignment/>
    </xf>
    <xf numFmtId="173" fontId="0" fillId="24" borderId="12" xfId="42" applyNumberFormat="1" applyFont="1" applyFill="1" applyBorder="1" applyAlignment="1">
      <alignment/>
    </xf>
    <xf numFmtId="173" fontId="0" fillId="24" borderId="23" xfId="42" applyNumberFormat="1" applyFont="1" applyFill="1" applyBorder="1" applyAlignment="1">
      <alignment/>
    </xf>
    <xf numFmtId="0" fontId="7" fillId="24" borderId="11" xfId="0" applyFont="1" applyFill="1" applyBorder="1" applyAlignment="1">
      <alignment/>
    </xf>
    <xf numFmtId="9" fontId="0" fillId="24" borderId="0" xfId="59" applyFont="1" applyFill="1" applyBorder="1" applyAlignment="1">
      <alignment horizontal="center"/>
    </xf>
    <xf numFmtId="9" fontId="0" fillId="24" borderId="0" xfId="59" applyFont="1" applyFill="1" applyBorder="1" applyAlignment="1">
      <alignment/>
    </xf>
    <xf numFmtId="9" fontId="0" fillId="24" borderId="15" xfId="59" applyFont="1" applyFill="1" applyBorder="1" applyAlignment="1">
      <alignment/>
    </xf>
    <xf numFmtId="9" fontId="0" fillId="24" borderId="12" xfId="59" applyFont="1" applyFill="1" applyBorder="1" applyAlignment="1">
      <alignment/>
    </xf>
    <xf numFmtId="9" fontId="0" fillId="24" borderId="23" xfId="59" applyFont="1" applyFill="1" applyBorder="1" applyAlignment="1">
      <alignment/>
    </xf>
    <xf numFmtId="1" fontId="22" fillId="24" borderId="18" xfId="59" applyNumberFormat="1" applyFont="1" applyFill="1" applyBorder="1" applyAlignment="1" applyProtection="1">
      <alignment horizontal="center"/>
      <protection locked="0"/>
    </xf>
    <xf numFmtId="0" fontId="29" fillId="0" borderId="18" xfId="0" applyFont="1" applyBorder="1" applyAlignment="1">
      <alignment wrapText="1"/>
    </xf>
    <xf numFmtId="0" fontId="29" fillId="0" borderId="25" xfId="0" applyFont="1" applyBorder="1" applyAlignment="1">
      <alignment wrapText="1"/>
    </xf>
    <xf numFmtId="0" fontId="30" fillId="0" borderId="26" xfId="0" applyFont="1" applyBorder="1" applyAlignment="1">
      <alignment horizontal="center" wrapText="1"/>
    </xf>
    <xf numFmtId="3" fontId="29" fillId="0" borderId="26" xfId="0" applyNumberFormat="1" applyFont="1" applyBorder="1" applyAlignment="1">
      <alignment horizontal="center" wrapText="1"/>
    </xf>
    <xf numFmtId="0" fontId="29" fillId="0" borderId="26" xfId="0" applyFont="1" applyBorder="1" applyAlignment="1">
      <alignment horizontal="center" wrapText="1"/>
    </xf>
    <xf numFmtId="0" fontId="29" fillId="0" borderId="25" xfId="0" applyFont="1" applyBorder="1" applyAlignment="1">
      <alignment horizontal="left" wrapText="1" indent="1"/>
    </xf>
    <xf numFmtId="0" fontId="29" fillId="0" borderId="0" xfId="0" applyFont="1" applyFill="1" applyBorder="1" applyAlignment="1">
      <alignment horizontal="left" wrapText="1" indent="1"/>
    </xf>
    <xf numFmtId="0" fontId="0" fillId="0" borderId="0" xfId="0" applyAlignment="1">
      <alignment wrapText="1"/>
    </xf>
    <xf numFmtId="10" fontId="0" fillId="0" borderId="0" xfId="0" applyNumberFormat="1" applyAlignment="1">
      <alignment/>
    </xf>
    <xf numFmtId="0" fontId="29" fillId="0" borderId="0" xfId="0" applyFont="1" applyBorder="1" applyAlignment="1">
      <alignment horizontal="left" wrapText="1" indent="1"/>
    </xf>
    <xf numFmtId="3" fontId="29" fillId="0" borderId="0" xfId="0" applyNumberFormat="1" applyFont="1" applyBorder="1" applyAlignment="1">
      <alignment horizontal="center" wrapText="1"/>
    </xf>
    <xf numFmtId="0" fontId="29" fillId="0" borderId="0" xfId="0" applyFont="1" applyBorder="1" applyAlignment="1">
      <alignment horizontal="center" wrapText="1"/>
    </xf>
    <xf numFmtId="0" fontId="30" fillId="0" borderId="18" xfId="0" applyFont="1" applyBorder="1" applyAlignment="1">
      <alignment wrapText="1"/>
    </xf>
    <xf numFmtId="0" fontId="30" fillId="0" borderId="27" xfId="0" applyFont="1" applyBorder="1" applyAlignment="1">
      <alignment horizontal="center" wrapText="1"/>
    </xf>
    <xf numFmtId="10" fontId="29" fillId="0" borderId="26" xfId="0" applyNumberFormat="1" applyFont="1" applyBorder="1" applyAlignment="1">
      <alignment horizontal="center"/>
    </xf>
    <xf numFmtId="0" fontId="30" fillId="0" borderId="18" xfId="0" applyFont="1" applyBorder="1" applyAlignment="1">
      <alignment/>
    </xf>
    <xf numFmtId="0" fontId="29" fillId="0" borderId="25" xfId="0" applyFont="1" applyBorder="1" applyAlignment="1">
      <alignment/>
    </xf>
    <xf numFmtId="176" fontId="29" fillId="0" borderId="26" xfId="0" applyNumberFormat="1" applyFont="1" applyBorder="1" applyAlignment="1">
      <alignment horizontal="center"/>
    </xf>
    <xf numFmtId="10" fontId="0" fillId="24" borderId="18" xfId="59" applyNumberFormat="1" applyFont="1" applyFill="1" applyBorder="1" applyAlignment="1">
      <alignment horizontal="center" vertical="center"/>
    </xf>
    <xf numFmtId="9" fontId="21" fillId="24" borderId="18" xfId="59" applyFont="1" applyFill="1" applyBorder="1" applyAlignment="1">
      <alignment horizontal="center" vertical="center"/>
    </xf>
    <xf numFmtId="10" fontId="0" fillId="24" borderId="18" xfId="0" applyNumberFormat="1" applyFill="1" applyBorder="1" applyAlignment="1">
      <alignment horizontal="center"/>
    </xf>
    <xf numFmtId="9" fontId="0" fillId="24" borderId="18" xfId="59" applyFont="1" applyFill="1" applyBorder="1" applyAlignment="1">
      <alignment horizontal="center"/>
    </xf>
    <xf numFmtId="179" fontId="0" fillId="0" borderId="0" xfId="42" applyNumberFormat="1" applyAlignment="1">
      <alignment/>
    </xf>
    <xf numFmtId="10" fontId="0" fillId="0" borderId="0" xfId="59" applyNumberFormat="1" applyFont="1" applyAlignment="1">
      <alignment/>
    </xf>
    <xf numFmtId="177" fontId="0" fillId="0" borderId="0" xfId="59" applyNumberFormat="1" applyFont="1" applyAlignment="1">
      <alignment/>
    </xf>
    <xf numFmtId="0" fontId="0" fillId="0" borderId="0" xfId="0" applyAlignment="1">
      <alignment vertical="top" wrapText="1"/>
    </xf>
    <xf numFmtId="0" fontId="0" fillId="0" borderId="0" xfId="0" applyAlignment="1">
      <alignment horizontal="right" vertical="top" wrapText="1"/>
    </xf>
    <xf numFmtId="0" fontId="78" fillId="0" borderId="0" xfId="0" applyFont="1" applyAlignment="1">
      <alignment horizontal="center" vertical="top" wrapText="1"/>
    </xf>
    <xf numFmtId="0" fontId="1" fillId="0" borderId="0" xfId="0" applyFont="1" applyAlignment="1">
      <alignment vertical="top" wrapText="1"/>
    </xf>
    <xf numFmtId="177" fontId="15" fillId="0" borderId="0" xfId="59" applyNumberFormat="1" applyFont="1" applyAlignment="1">
      <alignment/>
    </xf>
    <xf numFmtId="176" fontId="18" fillId="0" borderId="0" xfId="0" applyNumberFormat="1" applyFont="1" applyAlignment="1">
      <alignment/>
    </xf>
    <xf numFmtId="176" fontId="0" fillId="20" borderId="17" xfId="59" applyNumberFormat="1" applyFont="1" applyFill="1" applyBorder="1" applyAlignment="1">
      <alignment horizontal="center"/>
    </xf>
    <xf numFmtId="176" fontId="0" fillId="20" borderId="10" xfId="59" applyNumberFormat="1" applyFont="1" applyFill="1" applyBorder="1" applyAlignment="1">
      <alignment horizontal="center"/>
    </xf>
    <xf numFmtId="176" fontId="0" fillId="20" borderId="0" xfId="59" applyNumberFormat="1" applyFont="1" applyFill="1" applyAlignment="1">
      <alignment horizontal="center"/>
    </xf>
    <xf numFmtId="176" fontId="0" fillId="20" borderId="0" xfId="0" applyNumberFormat="1" applyFill="1" applyAlignment="1">
      <alignment horizontal="center"/>
    </xf>
    <xf numFmtId="176" fontId="0" fillId="24" borderId="15" xfId="59" applyNumberFormat="1" applyFont="1" applyFill="1" applyBorder="1" applyAlignment="1">
      <alignment horizontal="center"/>
    </xf>
    <xf numFmtId="176" fontId="0" fillId="24" borderId="12" xfId="59" applyNumberFormat="1" applyFont="1" applyFill="1" applyBorder="1" applyAlignment="1">
      <alignment horizontal="center"/>
    </xf>
    <xf numFmtId="176" fontId="0" fillId="24" borderId="23" xfId="59" applyNumberFormat="1" applyFont="1" applyFill="1" applyBorder="1" applyAlignment="1">
      <alignment horizontal="center"/>
    </xf>
    <xf numFmtId="9" fontId="17" fillId="24" borderId="12" xfId="0" applyNumberFormat="1" applyFont="1" applyFill="1" applyBorder="1" applyAlignment="1">
      <alignment/>
    </xf>
    <xf numFmtId="3" fontId="0" fillId="24" borderId="0" xfId="59" applyNumberFormat="1" applyFont="1" applyFill="1" applyBorder="1" applyAlignment="1">
      <alignment/>
    </xf>
    <xf numFmtId="176" fontId="0" fillId="24" borderId="0" xfId="59" applyNumberFormat="1" applyFont="1" applyFill="1" applyBorder="1" applyAlignment="1">
      <alignment/>
    </xf>
    <xf numFmtId="173" fontId="1" fillId="24" borderId="14" xfId="42" applyNumberFormat="1" applyFont="1" applyFill="1" applyBorder="1" applyAlignment="1">
      <alignment horizontal="center"/>
    </xf>
    <xf numFmtId="176" fontId="0" fillId="24" borderId="12" xfId="59" applyNumberFormat="1" applyFont="1" applyFill="1" applyBorder="1" applyAlignment="1">
      <alignment/>
    </xf>
    <xf numFmtId="176" fontId="0" fillId="0" borderId="0" xfId="0" applyNumberFormat="1" applyAlignment="1">
      <alignment/>
    </xf>
    <xf numFmtId="9" fontId="1" fillId="25" borderId="12" xfId="0" applyNumberFormat="1" applyFont="1" applyFill="1" applyBorder="1" applyAlignment="1">
      <alignment/>
    </xf>
    <xf numFmtId="9" fontId="12" fillId="25" borderId="12" xfId="0" applyNumberFormat="1" applyFont="1" applyFill="1" applyBorder="1" applyAlignment="1">
      <alignment/>
    </xf>
    <xf numFmtId="0" fontId="1" fillId="0" borderId="11" xfId="0" applyFont="1" applyFill="1" applyBorder="1" applyAlignment="1">
      <alignment horizontal="center"/>
    </xf>
    <xf numFmtId="9" fontId="1" fillId="0" borderId="11" xfId="0" applyNumberFormat="1" applyFont="1" applyFill="1" applyBorder="1" applyAlignment="1">
      <alignment horizontal="center"/>
    </xf>
    <xf numFmtId="0" fontId="0" fillId="25" borderId="13" xfId="0" applyFill="1" applyBorder="1" applyAlignment="1">
      <alignment/>
    </xf>
    <xf numFmtId="9" fontId="0" fillId="25" borderId="12" xfId="0" applyNumberFormat="1" applyFill="1" applyBorder="1" applyAlignment="1">
      <alignment horizontal="center"/>
    </xf>
    <xf numFmtId="3" fontId="0" fillId="25" borderId="24" xfId="0" applyNumberFormat="1" applyFill="1" applyBorder="1" applyAlignment="1">
      <alignment/>
    </xf>
    <xf numFmtId="0" fontId="1" fillId="0" borderId="0" xfId="0" applyFont="1" applyFill="1" applyBorder="1" applyAlignment="1">
      <alignment horizontal="center"/>
    </xf>
    <xf numFmtId="0" fontId="0" fillId="0" borderId="0" xfId="0" applyFill="1" applyBorder="1" applyAlignment="1">
      <alignment/>
    </xf>
    <xf numFmtId="9" fontId="0" fillId="24" borderId="0" xfId="0" applyNumberFormat="1" applyFill="1" applyAlignment="1">
      <alignment/>
    </xf>
    <xf numFmtId="9" fontId="0" fillId="24" borderId="20" xfId="0" applyNumberFormat="1" applyFill="1" applyBorder="1" applyAlignment="1">
      <alignment/>
    </xf>
    <xf numFmtId="176" fontId="0" fillId="24" borderId="0" xfId="59" applyNumberFormat="1" applyFont="1" applyFill="1" applyBorder="1" applyAlignment="1">
      <alignment horizontal="center"/>
    </xf>
    <xf numFmtId="9" fontId="0" fillId="24" borderId="22" xfId="0" applyNumberFormat="1" applyFill="1" applyBorder="1" applyAlignment="1">
      <alignment/>
    </xf>
    <xf numFmtId="9" fontId="0" fillId="24" borderId="15" xfId="0" applyNumberFormat="1" applyFill="1" applyBorder="1" applyAlignment="1">
      <alignment/>
    </xf>
    <xf numFmtId="9" fontId="0" fillId="24" borderId="12" xfId="0" applyNumberFormat="1" applyFill="1" applyBorder="1" applyAlignment="1">
      <alignment/>
    </xf>
    <xf numFmtId="9" fontId="0" fillId="24" borderId="23" xfId="0" applyNumberFormat="1" applyFill="1" applyBorder="1" applyAlignment="1">
      <alignment/>
    </xf>
    <xf numFmtId="9" fontId="0" fillId="24" borderId="0" xfId="59" applyNumberFormat="1" applyFill="1" applyBorder="1" applyAlignment="1">
      <alignment/>
    </xf>
    <xf numFmtId="9" fontId="0" fillId="24" borderId="12" xfId="59" applyNumberFormat="1" applyFill="1" applyBorder="1" applyAlignment="1">
      <alignment/>
    </xf>
    <xf numFmtId="176" fontId="0" fillId="24" borderId="0" xfId="59" applyNumberFormat="1" applyFont="1" applyFill="1" applyBorder="1" applyAlignment="1">
      <alignment horizontal="right"/>
    </xf>
    <xf numFmtId="0" fontId="0" fillId="24" borderId="12" xfId="0" applyFill="1" applyBorder="1" applyAlignment="1">
      <alignment horizontal="right"/>
    </xf>
    <xf numFmtId="176" fontId="0" fillId="24" borderId="0" xfId="59" applyNumberFormat="1" applyFill="1" applyBorder="1" applyAlignment="1">
      <alignment horizontal="right"/>
    </xf>
    <xf numFmtId="176" fontId="0" fillId="24" borderId="12" xfId="59" applyNumberFormat="1" applyFill="1" applyBorder="1" applyAlignment="1">
      <alignment horizontal="right"/>
    </xf>
    <xf numFmtId="3" fontId="0" fillId="0" borderId="0" xfId="0" applyNumberFormat="1" applyAlignment="1">
      <alignment/>
    </xf>
    <xf numFmtId="37" fontId="0" fillId="0" borderId="0" xfId="0" applyNumberFormat="1" applyAlignment="1">
      <alignment/>
    </xf>
    <xf numFmtId="37" fontId="7" fillId="0" borderId="0" xfId="0" applyNumberFormat="1" applyFont="1" applyFill="1" applyAlignment="1">
      <alignment horizontal="center"/>
    </xf>
    <xf numFmtId="9" fontId="15" fillId="0" borderId="0" xfId="59" applyFont="1" applyAlignment="1">
      <alignment/>
    </xf>
    <xf numFmtId="3" fontId="0" fillId="20" borderId="0" xfId="0" applyNumberFormat="1" applyFill="1" applyAlignment="1">
      <alignment horizontal="center" vertical="center" shrinkToFit="1"/>
    </xf>
    <xf numFmtId="10" fontId="0" fillId="20" borderId="0" xfId="0" applyNumberFormat="1" applyFill="1" applyAlignment="1">
      <alignment/>
    </xf>
    <xf numFmtId="10" fontId="0" fillId="20" borderId="0" xfId="59" applyNumberFormat="1" applyFont="1" applyFill="1" applyAlignment="1">
      <alignment/>
    </xf>
    <xf numFmtId="0" fontId="14" fillId="20" borderId="0" xfId="0" applyFont="1" applyFill="1" applyAlignment="1">
      <alignment/>
    </xf>
    <xf numFmtId="0" fontId="13" fillId="20" borderId="0" xfId="0" applyFont="1" applyFill="1" applyAlignment="1">
      <alignment horizontal="center"/>
    </xf>
    <xf numFmtId="0" fontId="13" fillId="20" borderId="0" xfId="0" applyFont="1" applyFill="1" applyAlignment="1">
      <alignment horizontal="center"/>
    </xf>
    <xf numFmtId="177" fontId="0" fillId="20" borderId="0" xfId="59" applyNumberFormat="1" applyFont="1" applyFill="1" applyAlignment="1">
      <alignment/>
    </xf>
    <xf numFmtId="0" fontId="2" fillId="20" borderId="0" xfId="0" applyFont="1" applyFill="1" applyAlignment="1">
      <alignment/>
    </xf>
    <xf numFmtId="176" fontId="0" fillId="20" borderId="0" xfId="59" applyNumberFormat="1" applyFill="1" applyBorder="1" applyAlignment="1">
      <alignment/>
    </xf>
    <xf numFmtId="173" fontId="1" fillId="20" borderId="0" xfId="42" applyNumberFormat="1" applyFont="1" applyFill="1" applyBorder="1" applyAlignment="1">
      <alignment horizontal="center"/>
    </xf>
    <xf numFmtId="176" fontId="0" fillId="20" borderId="0" xfId="59" applyNumberFormat="1" applyFill="1" applyBorder="1" applyAlignment="1">
      <alignment horizontal="right"/>
    </xf>
    <xf numFmtId="176" fontId="0" fillId="20" borderId="0" xfId="59" applyNumberFormat="1" applyFill="1" applyAlignment="1">
      <alignment/>
    </xf>
    <xf numFmtId="176" fontId="0" fillId="20" borderId="0" xfId="59" applyNumberFormat="1" applyFill="1" applyAlignment="1">
      <alignment horizontal="right"/>
    </xf>
    <xf numFmtId="3" fontId="0" fillId="11" borderId="20" xfId="0" applyNumberFormat="1" applyFill="1" applyBorder="1" applyAlignment="1">
      <alignment horizontal="center" vertical="center" shrinkToFit="1"/>
    </xf>
    <xf numFmtId="3" fontId="0" fillId="20" borderId="0" xfId="0" applyNumberFormat="1" applyFill="1" applyBorder="1" applyAlignment="1">
      <alignment horizontal="center" vertical="center" shrinkToFit="1"/>
    </xf>
    <xf numFmtId="3" fontId="1" fillId="18" borderId="20" xfId="42" applyNumberFormat="1" applyFont="1" applyFill="1" applyBorder="1" applyAlignment="1">
      <alignment horizontal="center" vertical="center" shrinkToFit="1"/>
    </xf>
    <xf numFmtId="3" fontId="0" fillId="24" borderId="20" xfId="0" applyNumberFormat="1" applyFill="1" applyBorder="1" applyAlignment="1">
      <alignment horizontal="center" vertical="center" shrinkToFit="1"/>
    </xf>
    <xf numFmtId="0" fontId="0" fillId="27" borderId="14" xfId="0" applyFill="1" applyBorder="1" applyAlignment="1">
      <alignment/>
    </xf>
    <xf numFmtId="0" fontId="0" fillId="27" borderId="0" xfId="0" applyFill="1" applyBorder="1" applyAlignment="1">
      <alignment/>
    </xf>
    <xf numFmtId="176" fontId="0" fillId="27" borderId="0" xfId="59" applyNumberFormat="1" applyFont="1" applyFill="1" applyBorder="1" applyAlignment="1">
      <alignment/>
    </xf>
    <xf numFmtId="176" fontId="0" fillId="27" borderId="0" xfId="59" applyNumberFormat="1" applyFont="1" applyFill="1" applyBorder="1" applyAlignment="1">
      <alignment horizontal="center"/>
    </xf>
    <xf numFmtId="10" fontId="0" fillId="27" borderId="0" xfId="59" applyNumberFormat="1" applyFont="1" applyFill="1" applyBorder="1" applyAlignment="1">
      <alignment horizontal="center"/>
    </xf>
    <xf numFmtId="10" fontId="0" fillId="27" borderId="0" xfId="59" applyNumberFormat="1" applyFont="1" applyFill="1" applyBorder="1" applyAlignment="1">
      <alignment/>
    </xf>
    <xf numFmtId="10" fontId="0" fillId="27" borderId="12" xfId="59" applyNumberFormat="1" applyFont="1" applyFill="1" applyBorder="1" applyAlignment="1">
      <alignment horizontal="center"/>
    </xf>
    <xf numFmtId="10" fontId="0" fillId="27" borderId="14" xfId="59" applyNumberFormat="1" applyFont="1" applyFill="1" applyBorder="1" applyAlignment="1">
      <alignment/>
    </xf>
    <xf numFmtId="10" fontId="0" fillId="27" borderId="12" xfId="0" applyNumberFormat="1" applyFill="1" applyBorder="1" applyAlignment="1">
      <alignment/>
    </xf>
    <xf numFmtId="176" fontId="0" fillId="27" borderId="0" xfId="0" applyNumberFormat="1" applyFill="1" applyBorder="1" applyAlignment="1">
      <alignment/>
    </xf>
    <xf numFmtId="176" fontId="0" fillId="27" borderId="0" xfId="0" applyNumberFormat="1" applyFill="1" applyBorder="1" applyAlignment="1">
      <alignment horizontal="center"/>
    </xf>
    <xf numFmtId="176" fontId="0" fillId="27" borderId="12" xfId="59" applyNumberFormat="1" applyFont="1" applyFill="1" applyBorder="1" applyAlignment="1">
      <alignment horizontal="center"/>
    </xf>
    <xf numFmtId="0" fontId="8" fillId="28" borderId="24" xfId="0" applyFont="1" applyFill="1" applyBorder="1" applyAlignment="1">
      <alignment/>
    </xf>
    <xf numFmtId="0" fontId="0" fillId="28" borderId="14" xfId="0" applyFill="1" applyBorder="1" applyAlignment="1">
      <alignment/>
    </xf>
    <xf numFmtId="0" fontId="0" fillId="28" borderId="22" xfId="0" applyFill="1" applyBorder="1" applyAlignment="1">
      <alignment/>
    </xf>
    <xf numFmtId="176" fontId="0" fillId="28" borderId="14" xfId="59" applyNumberFormat="1" applyFill="1" applyBorder="1" applyAlignment="1">
      <alignment/>
    </xf>
    <xf numFmtId="176" fontId="0" fillId="28" borderId="14" xfId="59" applyNumberFormat="1" applyFill="1" applyBorder="1" applyAlignment="1">
      <alignment horizontal="right"/>
    </xf>
    <xf numFmtId="0" fontId="0" fillId="28" borderId="11" xfId="0" applyFill="1" applyBorder="1" applyAlignment="1">
      <alignment/>
    </xf>
    <xf numFmtId="0" fontId="0" fillId="28" borderId="0" xfId="0" applyFill="1" applyBorder="1" applyAlignment="1">
      <alignment/>
    </xf>
    <xf numFmtId="176" fontId="0" fillId="28" borderId="0" xfId="59" applyNumberFormat="1" applyFill="1" applyBorder="1" applyAlignment="1">
      <alignment/>
    </xf>
    <xf numFmtId="176" fontId="0" fillId="28" borderId="0" xfId="59" applyNumberFormat="1" applyFill="1" applyBorder="1" applyAlignment="1">
      <alignment horizontal="right"/>
    </xf>
    <xf numFmtId="176" fontId="7" fillId="28" borderId="0" xfId="59" applyNumberFormat="1" applyFont="1" applyFill="1" applyBorder="1" applyAlignment="1">
      <alignment horizontal="center"/>
    </xf>
    <xf numFmtId="177" fontId="0" fillId="0" borderId="0" xfId="59" applyNumberFormat="1" applyFont="1" applyAlignment="1">
      <alignment/>
    </xf>
    <xf numFmtId="10" fontId="0" fillId="0" borderId="0" xfId="59" applyNumberFormat="1" applyFont="1" applyAlignment="1">
      <alignment/>
    </xf>
    <xf numFmtId="185" fontId="0" fillId="20" borderId="0" xfId="0" applyNumberFormat="1" applyFill="1" applyAlignment="1">
      <alignment/>
    </xf>
    <xf numFmtId="185" fontId="0" fillId="20" borderId="0" xfId="0" applyNumberFormat="1" applyFill="1" applyAlignment="1">
      <alignment/>
    </xf>
    <xf numFmtId="185" fontId="8" fillId="20" borderId="0" xfId="0" applyNumberFormat="1" applyFont="1" applyFill="1" applyAlignment="1">
      <alignment horizontal="center" wrapText="1"/>
    </xf>
    <xf numFmtId="185" fontId="8" fillId="20" borderId="0" xfId="0" applyNumberFormat="1" applyFont="1" applyFill="1" applyAlignment="1">
      <alignment horizontal="center"/>
    </xf>
    <xf numFmtId="185" fontId="8" fillId="20" borderId="0" xfId="0" applyNumberFormat="1" applyFont="1" applyFill="1" applyAlignment="1">
      <alignment/>
    </xf>
    <xf numFmtId="185" fontId="0" fillId="20" borderId="0" xfId="0" applyNumberFormat="1" applyFont="1" applyFill="1" applyAlignment="1">
      <alignment horizontal="center" wrapText="1"/>
    </xf>
    <xf numFmtId="176" fontId="0" fillId="24" borderId="18" xfId="59" applyNumberFormat="1" applyFont="1" applyFill="1" applyBorder="1" applyAlignment="1">
      <alignment horizontal="center"/>
    </xf>
    <xf numFmtId="176" fontId="0" fillId="24" borderId="18" xfId="0" applyNumberFormat="1" applyFill="1" applyBorder="1" applyAlignment="1">
      <alignment horizontal="center"/>
    </xf>
    <xf numFmtId="0" fontId="78" fillId="0" borderId="0" xfId="0" applyFont="1" applyAlignment="1">
      <alignment horizontal="left"/>
    </xf>
    <xf numFmtId="41" fontId="0" fillId="0" borderId="0" xfId="0" applyNumberFormat="1" applyAlignment="1">
      <alignment/>
    </xf>
    <xf numFmtId="41" fontId="7" fillId="0" borderId="0" xfId="0" applyNumberFormat="1" applyFont="1" applyAlignment="1">
      <alignment horizontal="center"/>
    </xf>
    <xf numFmtId="41" fontId="7" fillId="0" borderId="0" xfId="0" applyNumberFormat="1" applyFont="1" applyAlignment="1">
      <alignment horizontal="right"/>
    </xf>
    <xf numFmtId="177" fontId="0" fillId="0" borderId="0" xfId="0" applyNumberFormat="1" applyAlignment="1">
      <alignment/>
    </xf>
    <xf numFmtId="164" fontId="1" fillId="18" borderId="18" xfId="59" applyNumberFormat="1" applyFont="1" applyFill="1" applyBorder="1" applyAlignment="1">
      <alignment horizontal="center"/>
    </xf>
    <xf numFmtId="164" fontId="0" fillId="20" borderId="0" xfId="0" applyNumberFormat="1" applyFill="1" applyAlignment="1">
      <alignment horizontal="center"/>
    </xf>
    <xf numFmtId="0" fontId="0" fillId="25" borderId="0" xfId="0" applyFont="1" applyFill="1" applyAlignment="1">
      <alignment horizontal="right"/>
    </xf>
    <xf numFmtId="0" fontId="8" fillId="27" borderId="24" xfId="0" applyFont="1" applyFill="1" applyBorder="1" applyAlignment="1">
      <alignment/>
    </xf>
    <xf numFmtId="176" fontId="0" fillId="27" borderId="14" xfId="59" applyNumberFormat="1" applyFill="1" applyBorder="1" applyAlignment="1">
      <alignment/>
    </xf>
    <xf numFmtId="176" fontId="0" fillId="27" borderId="14" xfId="59" applyNumberFormat="1" applyFill="1" applyBorder="1" applyAlignment="1">
      <alignment horizontal="right"/>
    </xf>
    <xf numFmtId="0" fontId="0" fillId="27" borderId="22" xfId="0" applyFill="1" applyBorder="1" applyAlignment="1">
      <alignment/>
    </xf>
    <xf numFmtId="164" fontId="8" fillId="25" borderId="12" xfId="0" applyNumberFormat="1" applyFont="1" applyFill="1" applyBorder="1" applyAlignment="1">
      <alignment/>
    </xf>
    <xf numFmtId="164" fontId="13" fillId="24" borderId="12" xfId="59" applyNumberFormat="1" applyFont="1" applyFill="1" applyBorder="1" applyAlignment="1">
      <alignment horizontal="center"/>
    </xf>
    <xf numFmtId="164" fontId="0" fillId="24" borderId="12" xfId="59" applyNumberFormat="1" applyFill="1" applyBorder="1" applyAlignment="1">
      <alignment horizontal="center"/>
    </xf>
    <xf numFmtId="0" fontId="4" fillId="20" borderId="0" xfId="0" applyFont="1" applyFill="1" applyAlignment="1">
      <alignment horizontal="center" vertical="center"/>
    </xf>
    <xf numFmtId="185" fontId="8" fillId="20" borderId="0" xfId="0" applyNumberFormat="1" applyFont="1" applyFill="1" applyAlignment="1">
      <alignment horizontal="center" wrapText="1"/>
    </xf>
    <xf numFmtId="185" fontId="0" fillId="20" borderId="0" xfId="0" applyNumberFormat="1" applyFont="1" applyFill="1" applyAlignment="1">
      <alignment horizontal="center" wrapText="1"/>
    </xf>
    <xf numFmtId="0" fontId="8" fillId="20" borderId="0" xfId="0" applyFont="1" applyFill="1" applyAlignment="1">
      <alignment horizontal="center"/>
    </xf>
    <xf numFmtId="0" fontId="2" fillId="20" borderId="0" xfId="0" applyFont="1" applyFill="1" applyAlignment="1">
      <alignment horizontal="center"/>
    </xf>
    <xf numFmtId="0" fontId="0" fillId="24" borderId="0" xfId="0" applyFill="1" applyBorder="1" applyAlignment="1">
      <alignment horizontal="center"/>
    </xf>
    <xf numFmtId="176" fontId="13" fillId="24" borderId="15" xfId="0" applyNumberFormat="1" applyFont="1" applyFill="1" applyBorder="1" applyAlignment="1">
      <alignment horizontal="center"/>
    </xf>
    <xf numFmtId="176" fontId="13" fillId="24" borderId="15" xfId="59" applyNumberFormat="1" applyFont="1" applyFill="1" applyBorder="1" applyAlignment="1">
      <alignment horizontal="center"/>
    </xf>
    <xf numFmtId="176" fontId="0" fillId="24" borderId="27" xfId="0" applyNumberFormat="1" applyFill="1" applyBorder="1" applyAlignment="1">
      <alignment horizontal="center"/>
    </xf>
    <xf numFmtId="0" fontId="0" fillId="20" borderId="0" xfId="0" applyFont="1" applyFill="1" applyAlignment="1">
      <alignment horizontal="center" wrapText="1"/>
    </xf>
    <xf numFmtId="185" fontId="6" fillId="20" borderId="0" xfId="0" applyNumberFormat="1" applyFont="1" applyFill="1" applyAlignment="1">
      <alignment horizontal="center"/>
    </xf>
    <xf numFmtId="185" fontId="0" fillId="0" borderId="0" xfId="0" applyNumberFormat="1" applyAlignment="1">
      <alignment/>
    </xf>
    <xf numFmtId="9" fontId="17" fillId="24" borderId="23" xfId="0" applyNumberFormat="1" applyFont="1" applyFill="1" applyBorder="1" applyAlignment="1">
      <alignment/>
    </xf>
    <xf numFmtId="0" fontId="81" fillId="11" borderId="0" xfId="0" applyFont="1" applyFill="1" applyAlignment="1">
      <alignment horizontal="center" vertical="center" wrapText="1"/>
    </xf>
    <xf numFmtId="0" fontId="79" fillId="24" borderId="24" xfId="0" applyFont="1" applyFill="1" applyBorder="1" applyAlignment="1">
      <alignment horizontal="center" vertical="center" wrapText="1" shrinkToFit="1"/>
    </xf>
    <xf numFmtId="0" fontId="79" fillId="0" borderId="14" xfId="0" applyFont="1" applyBorder="1" applyAlignment="1">
      <alignment horizontal="center" vertical="center" wrapText="1" shrinkToFit="1"/>
    </xf>
    <xf numFmtId="0" fontId="79" fillId="0" borderId="22" xfId="0" applyFont="1" applyBorder="1" applyAlignment="1">
      <alignment horizontal="center" vertical="center" wrapText="1" shrinkToFit="1"/>
    </xf>
    <xf numFmtId="0" fontId="79" fillId="0" borderId="13" xfId="0" applyFont="1" applyBorder="1" applyAlignment="1">
      <alignment horizontal="center" vertical="center"/>
    </xf>
    <xf numFmtId="0" fontId="79" fillId="0" borderId="12" xfId="0" applyFont="1" applyBorder="1" applyAlignment="1">
      <alignment horizontal="center" vertical="center"/>
    </xf>
    <xf numFmtId="0" fontId="79" fillId="0" borderId="23" xfId="0" applyFont="1" applyBorder="1" applyAlignment="1">
      <alignment horizontal="center" vertical="center"/>
    </xf>
    <xf numFmtId="0" fontId="23" fillId="20" borderId="0" xfId="0" applyFont="1" applyFill="1" applyAlignment="1">
      <alignment horizontal="center" vertical="center"/>
    </xf>
    <xf numFmtId="0" fontId="0" fillId="24" borderId="28" xfId="0" applyFill="1" applyBorder="1" applyAlignment="1" applyProtection="1">
      <alignment horizontal="center"/>
      <protection locked="0"/>
    </xf>
    <xf numFmtId="0" fontId="0" fillId="24" borderId="29" xfId="0" applyFill="1" applyBorder="1" applyAlignment="1" applyProtection="1">
      <alignment horizontal="center"/>
      <protection locked="0"/>
    </xf>
    <xf numFmtId="0" fontId="0" fillId="24" borderId="27" xfId="0" applyFill="1" applyBorder="1" applyAlignment="1" applyProtection="1">
      <alignment horizontal="center"/>
      <protection locked="0"/>
    </xf>
    <xf numFmtId="0" fontId="0" fillId="20" borderId="0" xfId="0" applyFill="1" applyAlignment="1">
      <alignment horizontal="center"/>
    </xf>
    <xf numFmtId="0" fontId="0" fillId="24" borderId="28" xfId="0" applyFill="1" applyBorder="1" applyAlignment="1" applyProtection="1">
      <alignment horizontal="center" shrinkToFit="1"/>
      <protection locked="0"/>
    </xf>
    <xf numFmtId="0" fontId="0" fillId="24" borderId="29" xfId="0" applyFill="1" applyBorder="1" applyAlignment="1" applyProtection="1">
      <alignment horizontal="center" shrinkToFit="1"/>
      <protection locked="0"/>
    </xf>
    <xf numFmtId="0" fontId="0" fillId="24" borderId="27" xfId="0" applyFill="1" applyBorder="1" applyAlignment="1" applyProtection="1">
      <alignment horizontal="center" shrinkToFit="1"/>
      <protection locked="0"/>
    </xf>
    <xf numFmtId="0" fontId="6" fillId="20" borderId="0" xfId="0" applyFont="1" applyFill="1" applyAlignment="1">
      <alignment horizontal="left" indent="10"/>
    </xf>
    <xf numFmtId="3" fontId="8" fillId="18" borderId="19" xfId="42" applyNumberFormat="1" applyFont="1" applyFill="1" applyBorder="1" applyAlignment="1">
      <alignment horizontal="center" vertical="center"/>
    </xf>
    <xf numFmtId="3" fontId="12" fillId="0" borderId="20" xfId="0" applyNumberFormat="1" applyFont="1" applyBorder="1" applyAlignment="1">
      <alignment horizontal="center" vertical="center"/>
    </xf>
    <xf numFmtId="3" fontId="12" fillId="0" borderId="21" xfId="0" applyNumberFormat="1" applyFont="1" applyBorder="1" applyAlignment="1">
      <alignment horizontal="center" vertical="center"/>
    </xf>
    <xf numFmtId="0" fontId="6" fillId="20" borderId="0" xfId="0" applyFont="1" applyFill="1" applyAlignment="1">
      <alignment horizontal="right"/>
    </xf>
    <xf numFmtId="0" fontId="6" fillId="20" borderId="0" xfId="0" applyFont="1" applyFill="1" applyAlignment="1">
      <alignment horizontal="center"/>
    </xf>
    <xf numFmtId="0" fontId="0" fillId="0" borderId="0" xfId="0" applyAlignment="1">
      <alignment/>
    </xf>
    <xf numFmtId="10" fontId="0" fillId="24" borderId="28" xfId="0" applyNumberFormat="1" applyFill="1" applyBorder="1" applyAlignment="1">
      <alignment horizontal="center"/>
    </xf>
    <xf numFmtId="0" fontId="0" fillId="24" borderId="27" xfId="0" applyFill="1" applyBorder="1" applyAlignment="1">
      <alignment horizontal="center"/>
    </xf>
    <xf numFmtId="0" fontId="8" fillId="20" borderId="0" xfId="0" applyFont="1" applyFill="1" applyAlignment="1">
      <alignment horizontal="center" wrapText="1"/>
    </xf>
    <xf numFmtId="0" fontId="0" fillId="20" borderId="12" xfId="0" applyFont="1" applyFill="1" applyBorder="1" applyAlignment="1">
      <alignment horizontal="center" wrapText="1"/>
    </xf>
    <xf numFmtId="10" fontId="0" fillId="24" borderId="28" xfId="59" applyNumberFormat="1" applyFont="1" applyFill="1" applyBorder="1" applyAlignment="1">
      <alignment horizontal="center" vertical="center"/>
    </xf>
    <xf numFmtId="10" fontId="0" fillId="24" borderId="27" xfId="59" applyNumberFormat="1" applyFont="1" applyFill="1" applyBorder="1" applyAlignment="1">
      <alignment horizontal="center" vertical="center"/>
    </xf>
    <xf numFmtId="176" fontId="0" fillId="24" borderId="28" xfId="59" applyNumberFormat="1" applyFont="1" applyFill="1" applyBorder="1" applyAlignment="1">
      <alignment horizontal="center"/>
    </xf>
    <xf numFmtId="176" fontId="0" fillId="24" borderId="27" xfId="59" applyNumberFormat="1" applyFont="1" applyFill="1" applyBorder="1" applyAlignment="1">
      <alignment horizontal="center"/>
    </xf>
    <xf numFmtId="176" fontId="0" fillId="24" borderId="28" xfId="0" applyNumberFormat="1" applyFill="1" applyBorder="1" applyAlignment="1">
      <alignment horizontal="center"/>
    </xf>
    <xf numFmtId="0" fontId="0" fillId="24" borderId="0" xfId="0" applyFont="1" applyFill="1" applyBorder="1" applyAlignment="1">
      <alignment horizontal="center"/>
    </xf>
    <xf numFmtId="0" fontId="0" fillId="24" borderId="0" xfId="0" applyFont="1" applyFill="1" applyBorder="1" applyAlignment="1">
      <alignment horizontal="center" wrapText="1"/>
    </xf>
    <xf numFmtId="0" fontId="0" fillId="0" borderId="12" xfId="0" applyBorder="1" applyAlignment="1">
      <alignment wrapText="1"/>
    </xf>
    <xf numFmtId="176" fontId="7" fillId="24" borderId="0" xfId="0" applyNumberFormat="1" applyFont="1" applyFill="1" applyBorder="1" applyAlignment="1">
      <alignment horizontal="center"/>
    </xf>
    <xf numFmtId="176" fontId="7" fillId="24" borderId="15" xfId="0" applyNumberFormat="1" applyFont="1" applyFill="1" applyBorder="1" applyAlignment="1">
      <alignment horizontal="center"/>
    </xf>
    <xf numFmtId="10" fontId="7" fillId="24" borderId="0" xfId="59" applyNumberFormat="1" applyFont="1" applyFill="1" applyBorder="1" applyAlignment="1">
      <alignment horizontal="center"/>
    </xf>
    <xf numFmtId="10" fontId="7" fillId="24" borderId="15" xfId="59" applyNumberFormat="1" applyFont="1" applyFill="1" applyBorder="1" applyAlignment="1">
      <alignment horizontal="center"/>
    </xf>
    <xf numFmtId="176" fontId="7" fillId="24" borderId="0" xfId="59" applyNumberFormat="1" applyFont="1" applyFill="1" applyBorder="1" applyAlignment="1">
      <alignment horizontal="center"/>
    </xf>
    <xf numFmtId="176" fontId="7" fillId="24" borderId="15" xfId="59" applyNumberFormat="1" applyFont="1" applyFill="1" applyBorder="1" applyAlignment="1">
      <alignment horizontal="center"/>
    </xf>
    <xf numFmtId="0" fontId="7" fillId="20" borderId="0" xfId="0" applyFont="1" applyFill="1" applyAlignment="1">
      <alignment horizontal="center"/>
    </xf>
    <xf numFmtId="176" fontId="7" fillId="24" borderId="0" xfId="59" applyNumberFormat="1" applyFont="1" applyFill="1" applyBorder="1" applyAlignment="1">
      <alignment horizontal="center" wrapText="1"/>
    </xf>
    <xf numFmtId="0" fontId="0" fillId="24" borderId="0" xfId="0" applyFill="1" applyBorder="1" applyAlignment="1">
      <alignment wrapText="1"/>
    </xf>
    <xf numFmtId="176" fontId="0" fillId="24" borderId="12" xfId="59" applyNumberFormat="1" applyFont="1" applyFill="1" applyBorder="1" applyAlignment="1">
      <alignment horizontal="center"/>
    </xf>
    <xf numFmtId="0" fontId="0" fillId="24" borderId="12" xfId="0" applyFill="1" applyBorder="1" applyAlignment="1">
      <alignment/>
    </xf>
    <xf numFmtId="176" fontId="7" fillId="28" borderId="0" xfId="59" applyNumberFormat="1" applyFont="1" applyFill="1" applyBorder="1" applyAlignment="1">
      <alignment horizontal="center"/>
    </xf>
    <xf numFmtId="176" fontId="7" fillId="28" borderId="0" xfId="59" applyNumberFormat="1" applyFont="1" applyFill="1" applyBorder="1" applyAlignment="1">
      <alignment horizontal="center" wrapText="1"/>
    </xf>
    <xf numFmtId="0" fontId="0" fillId="28" borderId="0" xfId="0" applyFill="1" applyBorder="1" applyAlignment="1">
      <alignment wrapText="1"/>
    </xf>
    <xf numFmtId="0" fontId="0" fillId="28" borderId="15" xfId="0" applyFill="1" applyBorder="1" applyAlignment="1">
      <alignment wrapText="1"/>
    </xf>
    <xf numFmtId="0" fontId="0" fillId="24" borderId="15" xfId="0" applyFill="1" applyBorder="1" applyAlignment="1">
      <alignment wrapText="1"/>
    </xf>
    <xf numFmtId="0" fontId="1" fillId="25" borderId="0" xfId="0" applyFont="1" applyFill="1" applyBorder="1" applyAlignment="1">
      <alignment horizontal="center"/>
    </xf>
    <xf numFmtId="0" fontId="0" fillId="25" borderId="0" xfId="0" applyFill="1" applyAlignment="1">
      <alignment/>
    </xf>
    <xf numFmtId="0" fontId="16" fillId="0" borderId="0" xfId="0" applyFont="1" applyAlignment="1">
      <alignment wrapText="1"/>
    </xf>
    <xf numFmtId="0" fontId="0" fillId="0" borderId="0" xfId="0" applyAlignment="1">
      <alignment horizontal="center"/>
    </xf>
    <xf numFmtId="0" fontId="1" fillId="0" borderId="0" xfId="0" applyFont="1" applyAlignment="1">
      <alignment horizontal="center"/>
    </xf>
    <xf numFmtId="0" fontId="30" fillId="0" borderId="30" xfId="0" applyFont="1" applyBorder="1" applyAlignment="1">
      <alignment horizontal="center" wrapText="1"/>
    </xf>
    <xf numFmtId="0" fontId="30" fillId="0" borderId="12" xfId="0" applyFont="1" applyBorder="1" applyAlignment="1">
      <alignment horizontal="center" wrapText="1"/>
    </xf>
    <xf numFmtId="0" fontId="0" fillId="0" borderId="31" xfId="0" applyBorder="1" applyAlignment="1">
      <alignment wrapText="1"/>
    </xf>
    <xf numFmtId="0" fontId="30" fillId="0" borderId="32" xfId="0" applyFont="1" applyBorder="1" applyAlignment="1">
      <alignment horizontal="center" wrapText="1"/>
    </xf>
    <xf numFmtId="0" fontId="0" fillId="0" borderId="26" xfId="0"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Figure 1: Deaths due to influenza pandemic</a:t>
            </a:r>
          </a:p>
        </c:rich>
      </c:tx>
      <c:layout>
        <c:manualLayout>
          <c:xMode val="factor"/>
          <c:yMode val="factor"/>
          <c:x val="-0.063"/>
          <c:y val="-0.003"/>
        </c:manualLayout>
      </c:layout>
      <c:spPr>
        <a:noFill/>
        <a:ln>
          <a:noFill/>
        </a:ln>
      </c:spPr>
    </c:title>
    <c:plotArea>
      <c:layout>
        <c:manualLayout>
          <c:xMode val="edge"/>
          <c:yMode val="edge"/>
          <c:x val="0.04975"/>
          <c:y val="0.16125"/>
          <c:w val="0.7295"/>
          <c:h val="0.7815"/>
        </c:manualLayout>
      </c:layout>
      <c:lineChart>
        <c:grouping val="standard"/>
        <c:varyColors val="0"/>
        <c:ser>
          <c:idx val="2"/>
          <c:order val="0"/>
          <c:tx>
            <c:v>upper</c:v>
          </c:tx>
          <c:spPr>
            <a:ln w="38100">
              <a:solidFill>
                <a:srgbClr val="FF99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entry'!$W$25:$Y$25</c:f>
              <c:numCache>
                <c:ptCount val="3"/>
                <c:pt idx="0">
                  <c:v>0.09622288942155326</c:v>
                </c:pt>
                <c:pt idx="1">
                  <c:v>0.14668765087743094</c:v>
                </c:pt>
                <c:pt idx="2">
                  <c:v>0.1998703022568027</c:v>
                </c:pt>
              </c:numCache>
            </c:numRef>
          </c:cat>
          <c:val>
            <c:numRef>
              <c:f>'data entry'!$W$37:$Y$37</c:f>
              <c:numCache>
                <c:ptCount val="3"/>
                <c:pt idx="0">
                  <c:v>9234.785680858324</c:v>
                </c:pt>
                <c:pt idx="1">
                  <c:v>14299.704994763091</c:v>
                </c:pt>
                <c:pt idx="2">
                  <c:v>19431.413711632726</c:v>
                </c:pt>
              </c:numCache>
            </c:numRef>
          </c:val>
          <c:smooth val="0"/>
        </c:ser>
        <c:ser>
          <c:idx val="0"/>
          <c:order val="1"/>
          <c:tx>
            <c:v>most likely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entry'!$W$25:$Y$25</c:f>
              <c:numCache>
                <c:ptCount val="3"/>
                <c:pt idx="0">
                  <c:v>0.09622288942155326</c:v>
                </c:pt>
                <c:pt idx="1">
                  <c:v>0.14668765087743094</c:v>
                </c:pt>
                <c:pt idx="2">
                  <c:v>0.1998703022568027</c:v>
                </c:pt>
              </c:numCache>
            </c:numRef>
          </c:cat>
          <c:val>
            <c:numRef>
              <c:f>'data entry'!$W$35:$Y$35</c:f>
              <c:numCache>
                <c:ptCount val="3"/>
                <c:pt idx="0">
                  <c:v>8217.508684967328</c:v>
                </c:pt>
                <c:pt idx="1">
                  <c:v>12724.500142574869</c:v>
                </c:pt>
                <c:pt idx="2">
                  <c:v>17290.92352214877</c:v>
                </c:pt>
              </c:numCache>
            </c:numRef>
          </c:val>
          <c:smooth val="0"/>
        </c:ser>
        <c:ser>
          <c:idx val="1"/>
          <c:order val="2"/>
          <c:tx>
            <c:v>lower</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entry'!$W$25:$Y$25</c:f>
              <c:numCache>
                <c:ptCount val="3"/>
                <c:pt idx="0">
                  <c:v>0.09622288942155326</c:v>
                </c:pt>
                <c:pt idx="1">
                  <c:v>0.14668765087743094</c:v>
                </c:pt>
                <c:pt idx="2">
                  <c:v>0.1998703022568027</c:v>
                </c:pt>
              </c:numCache>
            </c:numRef>
          </c:cat>
          <c:val>
            <c:numRef>
              <c:f>'data entry'!$W$36:$Y$36</c:f>
              <c:numCache>
                <c:ptCount val="3"/>
                <c:pt idx="0">
                  <c:v>6787.411644383743</c:v>
                </c:pt>
                <c:pt idx="1">
                  <c:v>10510.047573256801</c:v>
                </c:pt>
                <c:pt idx="2">
                  <c:v>14281.77247489486</c:v>
                </c:pt>
              </c:numCache>
            </c:numRef>
          </c:val>
          <c:smooth val="0"/>
        </c:ser>
        <c:marker val="1"/>
        <c:axId val="23880428"/>
        <c:axId val="13597261"/>
      </c:lineChart>
      <c:catAx>
        <c:axId val="2388042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Gross attack rate</a:t>
                </a:r>
              </a:p>
            </c:rich>
          </c:tx>
          <c:layout>
            <c:manualLayout>
              <c:xMode val="factor"/>
              <c:yMode val="factor"/>
              <c:x val="0.01125"/>
              <c:y val="-0.00125"/>
            </c:manualLayout>
          </c:layout>
          <c:overlay val="0"/>
          <c:spPr>
            <a:noFill/>
            <a:ln>
              <a:noFill/>
            </a:ln>
          </c:spPr>
        </c:title>
        <c:delete val="0"/>
        <c:numFmt formatCode="General" sourceLinked="1"/>
        <c:majorTickMark val="cross"/>
        <c:minorTickMark val="none"/>
        <c:tickLblPos val="nextTo"/>
        <c:spPr>
          <a:ln w="12700">
            <a:solidFill>
              <a:srgbClr val="000000"/>
            </a:solidFill>
          </a:ln>
        </c:spPr>
        <c:txPr>
          <a:bodyPr vert="horz" rot="0"/>
          <a:lstStyle/>
          <a:p>
            <a:pPr>
              <a:defRPr lang="en-US" cap="none" sz="1125" b="1" i="0" u="none" baseline="0">
                <a:solidFill>
                  <a:srgbClr val="000000"/>
                </a:solidFill>
                <a:latin typeface="Arial"/>
                <a:ea typeface="Arial"/>
                <a:cs typeface="Arial"/>
              </a:defRPr>
            </a:pPr>
          </a:p>
        </c:txPr>
        <c:crossAx val="13597261"/>
        <c:crosses val="autoZero"/>
        <c:auto val="1"/>
        <c:lblOffset val="100"/>
        <c:tickLblSkip val="1"/>
        <c:noMultiLvlLbl val="0"/>
      </c:catAx>
      <c:valAx>
        <c:axId val="13597261"/>
        <c:scaling>
          <c:orientation val="minMax"/>
        </c:scaling>
        <c:axPos val="l"/>
        <c:title>
          <c:tx>
            <c:rich>
              <a:bodyPr vert="horz" rot="-5400000" anchor="ctr"/>
              <a:lstStyle/>
              <a:p>
                <a:pPr algn="ctr">
                  <a:defRPr/>
                </a:pPr>
                <a:r>
                  <a:rPr lang="en-US" cap="none" sz="1550" b="1" i="0" u="none" baseline="0">
                    <a:solidFill>
                      <a:srgbClr val="000000"/>
                    </a:solidFill>
                    <a:latin typeface="Arial"/>
                    <a:ea typeface="Arial"/>
                    <a:cs typeface="Arial"/>
                  </a:rPr>
                  <a:t>Deaths</a:t>
                </a:r>
              </a:p>
            </c:rich>
          </c:tx>
          <c:layout>
            <c:manualLayout>
              <c:xMode val="factor"/>
              <c:yMode val="factor"/>
              <c:x val="-0.00425"/>
              <c:y val="0"/>
            </c:manualLayout>
          </c:layout>
          <c:overlay val="0"/>
          <c:spPr>
            <a:noFill/>
            <a:ln>
              <a:noFill/>
            </a:ln>
          </c:spPr>
        </c:title>
        <c:delete val="0"/>
        <c:numFmt formatCode="#,##0" sourceLinked="0"/>
        <c:majorTickMark val="cross"/>
        <c:minorTickMark val="none"/>
        <c:tickLblPos val="nextTo"/>
        <c:spPr>
          <a:ln w="127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3880428"/>
        <c:crossesAt val="1"/>
        <c:crossBetween val="midCat"/>
        <c:dispUnits/>
      </c:valAx>
      <c:spPr>
        <a:solidFill>
          <a:srgbClr val="FFFFFF"/>
        </a:solidFill>
        <a:ln w="12700">
          <a:solidFill>
            <a:srgbClr val="808080"/>
          </a:solidFill>
        </a:ln>
      </c:spPr>
    </c:plotArea>
    <c:legend>
      <c:legendPos val="r"/>
      <c:layout>
        <c:manualLayout>
          <c:xMode val="edge"/>
          <c:yMode val="edge"/>
          <c:x val="0.7815"/>
          <c:y val="0.37575"/>
          <c:w val="0.20725"/>
          <c:h val="0.3035"/>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Figure 2: Hospitalizations due to influenza pandemic</a:t>
            </a:r>
          </a:p>
        </c:rich>
      </c:tx>
      <c:layout>
        <c:manualLayout>
          <c:xMode val="factor"/>
          <c:yMode val="factor"/>
          <c:x val="-0.0335"/>
          <c:y val="0.01775"/>
        </c:manualLayout>
      </c:layout>
      <c:spPr>
        <a:noFill/>
        <a:ln>
          <a:noFill/>
        </a:ln>
      </c:spPr>
    </c:title>
    <c:plotArea>
      <c:layout>
        <c:manualLayout>
          <c:xMode val="edge"/>
          <c:yMode val="edge"/>
          <c:x val="0.05125"/>
          <c:y val="0.1605"/>
          <c:w val="0.7605"/>
          <c:h val="0.7725"/>
        </c:manualLayout>
      </c:layout>
      <c:lineChart>
        <c:grouping val="standard"/>
        <c:varyColors val="0"/>
        <c:ser>
          <c:idx val="1"/>
          <c:order val="0"/>
          <c:tx>
            <c:v>upper</c:v>
          </c:tx>
          <c:spPr>
            <a:ln w="38100">
              <a:solidFill>
                <a:srgbClr val="FF99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entry'!$W$55:$Y$55</c:f>
              <c:numCache>
                <c:ptCount val="3"/>
                <c:pt idx="0">
                  <c:v>0.09622288942155326</c:v>
                </c:pt>
                <c:pt idx="1">
                  <c:v>0.14668765087743094</c:v>
                </c:pt>
                <c:pt idx="2">
                  <c:v>0.1998703022568027</c:v>
                </c:pt>
              </c:numCache>
            </c:numRef>
          </c:cat>
          <c:val>
            <c:numRef>
              <c:f>'data entry'!$W$52:$Y$52</c:f>
              <c:numCache>
                <c:ptCount val="3"/>
                <c:pt idx="0">
                  <c:v>151926.7718831284</c:v>
                </c:pt>
                <c:pt idx="1">
                  <c:v>234855.96881991986</c:v>
                </c:pt>
                <c:pt idx="2">
                  <c:v>321318.50785576145</c:v>
                </c:pt>
              </c:numCache>
            </c:numRef>
          </c:val>
          <c:smooth val="0"/>
        </c:ser>
        <c:ser>
          <c:idx val="2"/>
          <c:order val="1"/>
          <c:tx>
            <c:v>most likely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entry'!$W$55:$Y$55</c:f>
              <c:numCache>
                <c:ptCount val="3"/>
                <c:pt idx="0">
                  <c:v>0.09622288942155326</c:v>
                </c:pt>
                <c:pt idx="1">
                  <c:v>0.14668765087743094</c:v>
                </c:pt>
                <c:pt idx="2">
                  <c:v>0.1998703022568027</c:v>
                </c:pt>
              </c:numCache>
            </c:numRef>
          </c:cat>
          <c:val>
            <c:numRef>
              <c:f>'data entry'!$W$50:$Y$50</c:f>
              <c:numCache>
                <c:ptCount val="3"/>
                <c:pt idx="0">
                  <c:v>135184.40404228913</c:v>
                </c:pt>
                <c:pt idx="1">
                  <c:v>208973.33532983466</c:v>
                </c:pt>
                <c:pt idx="2">
                  <c:v>285906.41963178094</c:v>
                </c:pt>
              </c:numCache>
            </c:numRef>
          </c:val>
          <c:smooth val="0"/>
        </c:ser>
        <c:ser>
          <c:idx val="0"/>
          <c:order val="2"/>
          <c:tx>
            <c:v>lower</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entry'!$W$55:$Y$55</c:f>
              <c:numCache>
                <c:ptCount val="3"/>
                <c:pt idx="0">
                  <c:v>0.09622288942155326</c:v>
                </c:pt>
                <c:pt idx="1">
                  <c:v>0.14668765087743094</c:v>
                </c:pt>
                <c:pt idx="2">
                  <c:v>0.1998703022568027</c:v>
                </c:pt>
              </c:numCache>
            </c:numRef>
          </c:cat>
          <c:val>
            <c:numRef>
              <c:f>'data entry'!$W$51:$Y$51</c:f>
              <c:numCache>
                <c:ptCount val="3"/>
                <c:pt idx="0">
                  <c:v>111649.35483977843</c:v>
                </c:pt>
                <c:pt idx="1">
                  <c:v>172591.3472641919</c:v>
                </c:pt>
                <c:pt idx="2">
                  <c:v>236130.36316456983</c:v>
                </c:pt>
              </c:numCache>
            </c:numRef>
          </c:val>
          <c:smooth val="0"/>
        </c:ser>
        <c:marker val="1"/>
        <c:axId val="55266486"/>
        <c:axId val="27636327"/>
      </c:lineChart>
      <c:catAx>
        <c:axId val="55266486"/>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Gross attack rate</a:t>
                </a:r>
              </a:p>
            </c:rich>
          </c:tx>
          <c:layout>
            <c:manualLayout>
              <c:xMode val="factor"/>
              <c:yMode val="factor"/>
              <c:x val="0.005"/>
              <c:y val="-0.00125"/>
            </c:manualLayout>
          </c:layout>
          <c:overlay val="0"/>
          <c:spPr>
            <a:noFill/>
            <a:ln>
              <a:noFill/>
            </a:ln>
          </c:spPr>
        </c:title>
        <c:delete val="0"/>
        <c:numFmt formatCode="0.0%" sourceLinked="0"/>
        <c:majorTickMark val="cross"/>
        <c:minorTickMark val="none"/>
        <c:tickLblPos val="nextTo"/>
        <c:spPr>
          <a:ln w="127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7636327"/>
        <c:crosses val="autoZero"/>
        <c:auto val="1"/>
        <c:lblOffset val="100"/>
        <c:tickLblSkip val="1"/>
        <c:noMultiLvlLbl val="0"/>
      </c:catAx>
      <c:valAx>
        <c:axId val="27636327"/>
        <c:scaling>
          <c:orientation val="minMax"/>
        </c:scaling>
        <c:axPos val="l"/>
        <c:title>
          <c:tx>
            <c:rich>
              <a:bodyPr vert="horz" rot="-5400000" anchor="ctr"/>
              <a:lstStyle/>
              <a:p>
                <a:pPr algn="ctr">
                  <a:defRPr/>
                </a:pPr>
                <a:r>
                  <a:rPr lang="en-US" cap="none" sz="1550" b="1" i="0" u="none" baseline="0">
                    <a:solidFill>
                      <a:srgbClr val="000000"/>
                    </a:solidFill>
                    <a:latin typeface="Arial"/>
                    <a:ea typeface="Arial"/>
                    <a:cs typeface="Arial"/>
                  </a:rPr>
                  <a:t>Hospitalizations</a:t>
                </a:r>
              </a:p>
            </c:rich>
          </c:tx>
          <c:layout>
            <c:manualLayout>
              <c:xMode val="factor"/>
              <c:yMode val="factor"/>
              <c:x val="-0.0045"/>
              <c:y val="0"/>
            </c:manualLayout>
          </c:layout>
          <c:overlay val="0"/>
          <c:spPr>
            <a:noFill/>
            <a:ln>
              <a:noFill/>
            </a:ln>
          </c:spPr>
        </c:title>
        <c:delete val="0"/>
        <c:numFmt formatCode="#,##0" sourceLinked="0"/>
        <c:majorTickMark val="cross"/>
        <c:minorTickMark val="none"/>
        <c:tickLblPos val="nextTo"/>
        <c:spPr>
          <a:ln w="127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5266486"/>
        <c:crossesAt val="1"/>
        <c:crossBetween val="midCat"/>
        <c:dispUnits/>
      </c:valAx>
      <c:spPr>
        <a:solidFill>
          <a:srgbClr val="FFFFFF"/>
        </a:solidFill>
        <a:ln w="12700">
          <a:solidFill>
            <a:srgbClr val="808080"/>
          </a:solidFill>
        </a:ln>
      </c:spPr>
    </c:plotArea>
    <c:legend>
      <c:legendPos val="r"/>
      <c:layout>
        <c:manualLayout>
          <c:xMode val="edge"/>
          <c:yMode val="edge"/>
          <c:x val="0.81125"/>
          <c:y val="0.3775"/>
          <c:w val="0.18875"/>
          <c:h val="0.18375"/>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Figure 3: Outpatient visits due to influenza pandemic</a:t>
            </a:r>
          </a:p>
        </c:rich>
      </c:tx>
      <c:layout>
        <c:manualLayout>
          <c:xMode val="factor"/>
          <c:yMode val="factor"/>
          <c:x val="-0.03925"/>
          <c:y val="-0.0195"/>
        </c:manualLayout>
      </c:layout>
      <c:spPr>
        <a:noFill/>
        <a:ln>
          <a:noFill/>
        </a:ln>
      </c:spPr>
    </c:title>
    <c:plotArea>
      <c:layout>
        <c:manualLayout>
          <c:xMode val="edge"/>
          <c:yMode val="edge"/>
          <c:x val="0.09825"/>
          <c:y val="0.21075"/>
          <c:w val="0.7165"/>
          <c:h val="0.65575"/>
        </c:manualLayout>
      </c:layout>
      <c:lineChart>
        <c:grouping val="standard"/>
        <c:varyColors val="0"/>
        <c:ser>
          <c:idx val="2"/>
          <c:order val="0"/>
          <c:tx>
            <c:v>upper</c:v>
          </c:tx>
          <c:spPr>
            <a:ln w="38100">
              <a:solidFill>
                <a:srgbClr val="FF99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entry'!$W$55:$Y$55</c:f>
              <c:numCache>
                <c:ptCount val="3"/>
                <c:pt idx="0">
                  <c:v>0.09622288942155326</c:v>
                </c:pt>
                <c:pt idx="1">
                  <c:v>0.14668765087743094</c:v>
                </c:pt>
                <c:pt idx="2">
                  <c:v>0.1998703022568027</c:v>
                </c:pt>
              </c:numCache>
            </c:numRef>
          </c:cat>
          <c:val>
            <c:numRef>
              <c:f>'data entry'!$W$67:$Y$67</c:f>
              <c:numCache>
                <c:ptCount val="3"/>
                <c:pt idx="0">
                  <c:v>14932572.042384973</c:v>
                </c:pt>
                <c:pt idx="1">
                  <c:v>22948220.992149986</c:v>
                </c:pt>
                <c:pt idx="2">
                  <c:v>31446579.86647278</c:v>
                </c:pt>
              </c:numCache>
            </c:numRef>
          </c:val>
          <c:smooth val="0"/>
        </c:ser>
        <c:ser>
          <c:idx val="1"/>
          <c:order val="1"/>
          <c:tx>
            <c:v>most likely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entry'!$W$55:$Y$55</c:f>
              <c:numCache>
                <c:ptCount val="3"/>
                <c:pt idx="0">
                  <c:v>0.09622288942155326</c:v>
                </c:pt>
                <c:pt idx="1">
                  <c:v>0.14668765087743094</c:v>
                </c:pt>
                <c:pt idx="2">
                  <c:v>0.1998703022568027</c:v>
                </c:pt>
              </c:numCache>
            </c:numRef>
          </c:cat>
          <c:val>
            <c:numRef>
              <c:f>'data entry'!$W$65:$Y$65</c:f>
              <c:numCache>
                <c:ptCount val="3"/>
                <c:pt idx="0">
                  <c:v>14015050.225232545</c:v>
                </c:pt>
                <c:pt idx="1">
                  <c:v>21536328.40108171</c:v>
                </c:pt>
                <c:pt idx="2">
                  <c:v>29506462.060837727</c:v>
                </c:pt>
              </c:numCache>
            </c:numRef>
          </c:val>
          <c:smooth val="0"/>
        </c:ser>
        <c:ser>
          <c:idx val="0"/>
          <c:order val="2"/>
          <c:tx>
            <c:v>lower</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entry'!$W$55:$Y$55</c:f>
              <c:numCache>
                <c:ptCount val="3"/>
                <c:pt idx="0">
                  <c:v>0.09622288942155326</c:v>
                </c:pt>
                <c:pt idx="1">
                  <c:v>0.14668765087743094</c:v>
                </c:pt>
                <c:pt idx="2">
                  <c:v>0.1998703022568027</c:v>
                </c:pt>
              </c:numCache>
            </c:numRef>
          </c:cat>
          <c:val>
            <c:numRef>
              <c:f>'data entry'!$W$66:$Y$66</c:f>
              <c:numCache>
                <c:ptCount val="3"/>
                <c:pt idx="0">
                  <c:v>13097528.408080123</c:v>
                </c:pt>
                <c:pt idx="1">
                  <c:v>20124435.810013436</c:v>
                </c:pt>
                <c:pt idx="2">
                  <c:v>27566344.25520269</c:v>
                </c:pt>
              </c:numCache>
            </c:numRef>
          </c:val>
          <c:smooth val="0"/>
        </c:ser>
        <c:marker val="1"/>
        <c:axId val="47400352"/>
        <c:axId val="23949985"/>
      </c:lineChart>
      <c:catAx>
        <c:axId val="4740035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Gross attack rate</a:t>
                </a:r>
              </a:p>
            </c:rich>
          </c:tx>
          <c:layout>
            <c:manualLayout>
              <c:xMode val="factor"/>
              <c:yMode val="factor"/>
              <c:x val="0.001"/>
              <c:y val="-0.00125"/>
            </c:manualLayout>
          </c:layout>
          <c:overlay val="0"/>
          <c:spPr>
            <a:noFill/>
            <a:ln>
              <a:noFill/>
            </a:ln>
          </c:spPr>
        </c:title>
        <c:delete val="0"/>
        <c:numFmt formatCode="0.0%" sourceLinked="0"/>
        <c:majorTickMark val="cross"/>
        <c:minorTickMark val="none"/>
        <c:tickLblPos val="nextTo"/>
        <c:spPr>
          <a:ln w="12700">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23949985"/>
        <c:crosses val="autoZero"/>
        <c:auto val="1"/>
        <c:lblOffset val="100"/>
        <c:tickLblSkip val="1"/>
        <c:noMultiLvlLbl val="0"/>
      </c:catAx>
      <c:valAx>
        <c:axId val="23949985"/>
        <c:scaling>
          <c:orientation val="minMax"/>
        </c:scaling>
        <c:axPos val="l"/>
        <c:title>
          <c:tx>
            <c:rich>
              <a:bodyPr vert="horz" rot="-5400000" anchor="ctr"/>
              <a:lstStyle/>
              <a:p>
                <a:pPr algn="ctr">
                  <a:defRPr/>
                </a:pPr>
                <a:r>
                  <a:rPr lang="en-US" cap="none" sz="1425" b="1" i="0" u="none" baseline="0">
                    <a:solidFill>
                      <a:srgbClr val="000000"/>
                    </a:solidFill>
                    <a:latin typeface="Arial"/>
                    <a:ea typeface="Arial"/>
                    <a:cs typeface="Arial"/>
                  </a:rPr>
                  <a:t>Outpatient visits
</a:t>
                </a:r>
              </a:p>
            </c:rich>
          </c:tx>
          <c:layout>
            <c:manualLayout>
              <c:xMode val="factor"/>
              <c:yMode val="factor"/>
              <c:x val="0"/>
              <c:y val="0"/>
            </c:manualLayout>
          </c:layout>
          <c:overlay val="0"/>
          <c:spPr>
            <a:noFill/>
            <a:ln>
              <a:noFill/>
            </a:ln>
          </c:spPr>
        </c:title>
        <c:delete val="0"/>
        <c:numFmt formatCode="#,##0" sourceLinked="0"/>
        <c:majorTickMark val="cross"/>
        <c:minorTickMark val="none"/>
        <c:tickLblPos val="nextTo"/>
        <c:spPr>
          <a:ln w="12700">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47400352"/>
        <c:crossesAt val="1"/>
        <c:crossBetween val="midCat"/>
        <c:dispUnits/>
      </c:valAx>
      <c:spPr>
        <a:solidFill>
          <a:srgbClr val="FFFFFF"/>
        </a:solidFill>
        <a:ln w="12700">
          <a:solidFill>
            <a:srgbClr val="808080"/>
          </a:solidFill>
        </a:ln>
      </c:spPr>
    </c:plotArea>
    <c:legend>
      <c:legendPos val="r"/>
      <c:layout>
        <c:manualLayout>
          <c:xMode val="edge"/>
          <c:yMode val="edge"/>
          <c:x val="0.80525"/>
          <c:y val="0.26525"/>
          <c:w val="0.189"/>
          <c:h val="0.201"/>
        </c:manualLayout>
      </c:layout>
      <c:overlay val="0"/>
      <c:spPr>
        <a:solidFill>
          <a:srgbClr val="FFFFFF"/>
        </a:solidFill>
        <a:ln w="3175">
          <a:solidFill>
            <a:srgbClr val="000000"/>
          </a:solidFill>
        </a:ln>
      </c:spPr>
      <c:txPr>
        <a:bodyPr vert="horz" rot="0"/>
        <a:lstStyle/>
        <a:p>
          <a:pPr>
            <a:defRPr lang="en-US" cap="none" sz="10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Figure 1: Deaths due to influenza pandemic</a:t>
            </a:r>
          </a:p>
        </c:rich>
      </c:tx>
      <c:layout>
        <c:manualLayout>
          <c:xMode val="factor"/>
          <c:yMode val="factor"/>
          <c:x val="0.003"/>
          <c:y val="0"/>
        </c:manualLayout>
      </c:layout>
      <c:spPr>
        <a:noFill/>
        <a:ln>
          <a:noFill/>
        </a:ln>
      </c:spPr>
    </c:title>
    <c:plotArea>
      <c:layout>
        <c:manualLayout>
          <c:xMode val="edge"/>
          <c:yMode val="edge"/>
          <c:x val="0.062"/>
          <c:y val="0.162"/>
          <c:w val="0.7195"/>
          <c:h val="0.782"/>
        </c:manualLayout>
      </c:layout>
      <c:lineChart>
        <c:grouping val="standard"/>
        <c:varyColors val="0"/>
        <c:ser>
          <c:idx val="2"/>
          <c:order val="0"/>
          <c:tx>
            <c:v>maximum</c:v>
          </c:tx>
          <c:spPr>
            <a:ln w="127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entry'!$W$25:$Y$25</c:f>
              <c:numCache>
                <c:ptCount val="3"/>
                <c:pt idx="0">
                  <c:v>0.07678148135791901</c:v>
                </c:pt>
                <c:pt idx="1">
                  <c:v>0.15319838953744497</c:v>
                </c:pt>
                <c:pt idx="2">
                  <c:v>0.21045787580205788</c:v>
                </c:pt>
              </c:numCache>
            </c:numRef>
          </c:cat>
          <c:val>
            <c:numRef>
              <c:f>'data entry'!$W$37:$Y$37</c:f>
              <c:numCache>
                <c:ptCount val="3"/>
                <c:pt idx="0">
                  <c:v>6849.143470862524</c:v>
                </c:pt>
                <c:pt idx="1">
                  <c:v>14079.02401223579</c:v>
                </c:pt>
                <c:pt idx="2">
                  <c:v>19310.91683355272</c:v>
                </c:pt>
              </c:numCache>
            </c:numRef>
          </c:val>
          <c:smooth val="0"/>
        </c:ser>
        <c:ser>
          <c:idx val="0"/>
          <c:order val="1"/>
          <c:tx>
            <c:v>most likely</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entry'!$W$25:$Y$25</c:f>
              <c:numCache>
                <c:ptCount val="3"/>
                <c:pt idx="0">
                  <c:v>0.07678148135791901</c:v>
                </c:pt>
                <c:pt idx="1">
                  <c:v>0.15319838953744497</c:v>
                </c:pt>
                <c:pt idx="2">
                  <c:v>0.21045787580205788</c:v>
                </c:pt>
              </c:numCache>
            </c:numRef>
          </c:cat>
          <c:val>
            <c:numRef>
              <c:f>'data entry'!$W$35:$Y$35</c:f>
              <c:numCache>
                <c:ptCount val="3"/>
                <c:pt idx="0">
                  <c:v>6094.661972422991</c:v>
                </c:pt>
                <c:pt idx="1">
                  <c:v>12528.129138003504</c:v>
                </c:pt>
                <c:pt idx="2">
                  <c:v>17183.700400526937</c:v>
                </c:pt>
              </c:numCache>
            </c:numRef>
          </c:val>
          <c:smooth val="0"/>
        </c:ser>
        <c:ser>
          <c:idx val="1"/>
          <c:order val="2"/>
          <c:tx>
            <c:v>mimimum</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entry'!$W$25:$Y$25</c:f>
              <c:numCache>
                <c:ptCount val="3"/>
                <c:pt idx="0">
                  <c:v>0.07678148135791901</c:v>
                </c:pt>
                <c:pt idx="1">
                  <c:v>0.15319838953744497</c:v>
                </c:pt>
                <c:pt idx="2">
                  <c:v>0.21045787580205788</c:v>
                </c:pt>
              </c:numCache>
            </c:numRef>
          </c:cat>
          <c:val>
            <c:numRef>
              <c:f>'data entry'!$W$36:$Y$36</c:f>
              <c:numCache>
                <c:ptCount val="3"/>
                <c:pt idx="0">
                  <c:v>5034.004926172132</c:v>
                </c:pt>
                <c:pt idx="1">
                  <c:v>10347.850986260459</c:v>
                </c:pt>
                <c:pt idx="2">
                  <c:v>14193.209347046011</c:v>
                </c:pt>
              </c:numCache>
            </c:numRef>
          </c:val>
          <c:smooth val="0"/>
        </c:ser>
        <c:marker val="1"/>
        <c:axId val="14223274"/>
        <c:axId val="60900603"/>
      </c:lineChart>
      <c:catAx>
        <c:axId val="1422327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Gross attack rate</a:t>
                </a:r>
              </a:p>
            </c:rich>
          </c:tx>
          <c:layout>
            <c:manualLayout>
              <c:xMode val="factor"/>
              <c:yMode val="factor"/>
              <c:x val="0.005"/>
              <c:y val="0.00125"/>
            </c:manualLayout>
          </c:layout>
          <c:overlay val="0"/>
          <c:spPr>
            <a:noFill/>
            <a:ln>
              <a:noFill/>
            </a:ln>
          </c:spPr>
        </c:title>
        <c:delete val="0"/>
        <c:numFmt formatCode="General" sourceLinked="1"/>
        <c:majorTickMark val="cross"/>
        <c:minorTickMark val="none"/>
        <c:tickLblPos val="nextTo"/>
        <c:spPr>
          <a:ln w="127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60900603"/>
        <c:crosses val="autoZero"/>
        <c:auto val="1"/>
        <c:lblOffset val="100"/>
        <c:tickLblSkip val="1"/>
        <c:noMultiLvlLbl val="0"/>
      </c:catAx>
      <c:valAx>
        <c:axId val="6090060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Cases</a:t>
                </a:r>
              </a:p>
            </c:rich>
          </c:tx>
          <c:layout>
            <c:manualLayout>
              <c:xMode val="factor"/>
              <c:yMode val="factor"/>
              <c:x val="-0.00375"/>
              <c:y val="0"/>
            </c:manualLayout>
          </c:layout>
          <c:overlay val="0"/>
          <c:spPr>
            <a:noFill/>
            <a:ln>
              <a:noFill/>
            </a:ln>
          </c:spPr>
        </c:title>
        <c:delete val="0"/>
        <c:numFmt formatCode="#,##0" sourceLinked="0"/>
        <c:majorTickMark val="cross"/>
        <c:minorTickMark val="none"/>
        <c:tickLblPos val="nextTo"/>
        <c:spPr>
          <a:ln w="127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4223274"/>
        <c:crossesAt val="1"/>
        <c:crossBetween val="midCat"/>
        <c:dispUnits/>
        <c:majorUnit val="2000"/>
      </c:valAx>
      <c:spPr>
        <a:solidFill>
          <a:srgbClr val="FFFFFF"/>
        </a:solidFill>
        <a:ln w="12700">
          <a:solidFill>
            <a:srgbClr val="808080"/>
          </a:solidFill>
        </a:ln>
      </c:spPr>
    </c:plotArea>
    <c:legend>
      <c:legendPos val="r"/>
      <c:layout>
        <c:manualLayout>
          <c:xMode val="edge"/>
          <c:yMode val="edge"/>
          <c:x val="0.765"/>
          <c:y val="0.404"/>
          <c:w val="0.226"/>
          <c:h val="0.2095"/>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000000"/>
                </a:solidFill>
                <a:latin typeface="Arial"/>
                <a:ea typeface="Arial"/>
                <a:cs typeface="Arial"/>
              </a:rPr>
              <a:t>Figure 2: Hospitalizations due to influenza pandemic</a:t>
            </a:r>
          </a:p>
        </c:rich>
      </c:tx>
      <c:layout>
        <c:manualLayout>
          <c:xMode val="factor"/>
          <c:yMode val="factor"/>
          <c:x val="-0.0365"/>
          <c:y val="-0.01925"/>
        </c:manualLayout>
      </c:layout>
      <c:spPr>
        <a:noFill/>
        <a:ln>
          <a:noFill/>
        </a:ln>
      </c:spPr>
    </c:title>
    <c:plotArea>
      <c:layout>
        <c:manualLayout>
          <c:xMode val="edge"/>
          <c:yMode val="edge"/>
          <c:x val="0.05"/>
          <c:y val="0.15175"/>
          <c:w val="0.74525"/>
          <c:h val="0.78475"/>
        </c:manualLayout>
      </c:layout>
      <c:lineChart>
        <c:grouping val="standard"/>
        <c:varyColors val="0"/>
        <c:ser>
          <c:idx val="1"/>
          <c:order val="0"/>
          <c:tx>
            <c:v>maximum</c:v>
          </c:tx>
          <c:spPr>
            <a:ln w="127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entry'!$W$55:$Y$55</c:f>
              <c:numCache>
                <c:ptCount val="3"/>
                <c:pt idx="0">
                  <c:v>0.07678148135791901</c:v>
                </c:pt>
                <c:pt idx="1">
                  <c:v>0.15319838953744497</c:v>
                </c:pt>
                <c:pt idx="2">
                  <c:v>0.21045787580205788</c:v>
                </c:pt>
              </c:numCache>
            </c:numRef>
          </c:cat>
          <c:val>
            <c:numRef>
              <c:f>'data entry'!$W$52:$Y$52</c:f>
              <c:numCache>
                <c:ptCount val="3"/>
                <c:pt idx="0">
                  <c:v>119349.42125058812</c:v>
                </c:pt>
                <c:pt idx="1">
                  <c:v>242131.31139735336</c:v>
                </c:pt>
                <c:pt idx="2">
                  <c:v>333893.8635817701</c:v>
                </c:pt>
              </c:numCache>
            </c:numRef>
          </c:val>
          <c:smooth val="0"/>
        </c:ser>
        <c:ser>
          <c:idx val="2"/>
          <c:order val="1"/>
          <c:tx>
            <c:v>most likely</c:v>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entry'!$W$55:$Y$55</c:f>
              <c:numCache>
                <c:ptCount val="3"/>
                <c:pt idx="0">
                  <c:v>0.07678148135791901</c:v>
                </c:pt>
                <c:pt idx="1">
                  <c:v>0.15319838953744497</c:v>
                </c:pt>
                <c:pt idx="2">
                  <c:v>0.21045787580205788</c:v>
                </c:pt>
              </c:numCache>
            </c:numRef>
          </c:cat>
          <c:val>
            <c:numRef>
              <c:f>'data entry'!$W$50:$Y$50</c:f>
              <c:numCache>
                <c:ptCount val="3"/>
                <c:pt idx="0">
                  <c:v>106197.50677414723</c:v>
                </c:pt>
                <c:pt idx="1">
                  <c:v>215447.58980029478</c:v>
                </c:pt>
                <c:pt idx="2">
                  <c:v>297096.903623842</c:v>
                </c:pt>
              </c:numCache>
            </c:numRef>
          </c:val>
          <c:smooth val="0"/>
        </c:ser>
        <c:ser>
          <c:idx val="0"/>
          <c:order val="2"/>
          <c:tx>
            <c:v>minimum</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entry'!$W$55:$Y$55</c:f>
              <c:numCache>
                <c:ptCount val="3"/>
                <c:pt idx="0">
                  <c:v>0.07678148135791901</c:v>
                </c:pt>
                <c:pt idx="1">
                  <c:v>0.15319838953744497</c:v>
                </c:pt>
                <c:pt idx="2">
                  <c:v>0.21045787580205788</c:v>
                </c:pt>
              </c:numCache>
            </c:numRef>
          </c:cat>
          <c:val>
            <c:numRef>
              <c:f>'data entry'!$W$51:$Y$51</c:f>
              <c:numCache>
                <c:ptCount val="3"/>
                <c:pt idx="0">
                  <c:v>87709.62053777574</c:v>
                </c:pt>
                <c:pt idx="1">
                  <c:v>177939.53260411127</c:v>
                </c:pt>
                <c:pt idx="2">
                  <c:v>245374.08371843584</c:v>
                </c:pt>
              </c:numCache>
            </c:numRef>
          </c:val>
          <c:smooth val="0"/>
        </c:ser>
        <c:marker val="1"/>
        <c:axId val="11234516"/>
        <c:axId val="34001781"/>
      </c:lineChart>
      <c:catAx>
        <c:axId val="11234516"/>
        <c:scaling>
          <c:orientation val="minMax"/>
        </c:scaling>
        <c:axPos val="b"/>
        <c:title>
          <c:tx>
            <c:rich>
              <a:bodyPr vert="horz" rot="0" anchor="ctr"/>
              <a:lstStyle/>
              <a:p>
                <a:pPr algn="ctr">
                  <a:defRPr/>
                </a:pPr>
                <a:r>
                  <a:rPr lang="en-US" cap="none" sz="1450" b="1" i="0" u="none" baseline="0">
                    <a:solidFill>
                      <a:srgbClr val="000000"/>
                    </a:solidFill>
                    <a:latin typeface="Arial"/>
                    <a:ea typeface="Arial"/>
                    <a:cs typeface="Arial"/>
                  </a:rPr>
                  <a:t>Gross attack rate</a:t>
                </a:r>
              </a:p>
            </c:rich>
          </c:tx>
          <c:layout>
            <c:manualLayout>
              <c:xMode val="factor"/>
              <c:yMode val="factor"/>
              <c:x val="0.008"/>
              <c:y val="0"/>
            </c:manualLayout>
          </c:layout>
          <c:overlay val="0"/>
          <c:spPr>
            <a:noFill/>
            <a:ln>
              <a:noFill/>
            </a:ln>
          </c:spPr>
        </c:title>
        <c:delete val="0"/>
        <c:numFmt formatCode="0%" sourceLinked="0"/>
        <c:majorTickMark val="cross"/>
        <c:minorTickMark val="none"/>
        <c:tickLblPos val="nextTo"/>
        <c:spPr>
          <a:ln w="127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4001781"/>
        <c:crosses val="autoZero"/>
        <c:auto val="1"/>
        <c:lblOffset val="100"/>
        <c:tickLblSkip val="1"/>
        <c:noMultiLvlLbl val="0"/>
      </c:catAx>
      <c:valAx>
        <c:axId val="34001781"/>
        <c:scaling>
          <c:orientation val="minMax"/>
        </c:scaling>
        <c:axPos val="l"/>
        <c:title>
          <c:tx>
            <c:rich>
              <a:bodyPr vert="horz" rot="-5400000" anchor="ctr"/>
              <a:lstStyle/>
              <a:p>
                <a:pPr algn="ctr">
                  <a:defRPr/>
                </a:pPr>
                <a:r>
                  <a:rPr lang="en-US" cap="none" sz="1450" b="1" i="0" u="none" baseline="0">
                    <a:solidFill>
                      <a:srgbClr val="000000"/>
                    </a:solidFill>
                    <a:latin typeface="Arial"/>
                    <a:ea typeface="Arial"/>
                    <a:cs typeface="Arial"/>
                  </a:rPr>
                  <a:t>Cases</a:t>
                </a:r>
              </a:p>
            </c:rich>
          </c:tx>
          <c:layout>
            <c:manualLayout>
              <c:xMode val="factor"/>
              <c:yMode val="factor"/>
              <c:x val="-0.003"/>
              <c:y val="0"/>
            </c:manualLayout>
          </c:layout>
          <c:overlay val="0"/>
          <c:spPr>
            <a:noFill/>
            <a:ln>
              <a:noFill/>
            </a:ln>
          </c:spPr>
        </c:title>
        <c:delete val="0"/>
        <c:numFmt formatCode="#,##0" sourceLinked="0"/>
        <c:majorTickMark val="cross"/>
        <c:minorTickMark val="none"/>
        <c:tickLblPos val="nextTo"/>
        <c:spPr>
          <a:ln w="127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1234516"/>
        <c:crossesAt val="1"/>
        <c:crossBetween val="midCat"/>
        <c:dispUnits/>
      </c:valAx>
      <c:spPr>
        <a:solidFill>
          <a:srgbClr val="FFFFFF"/>
        </a:solidFill>
        <a:ln w="12700">
          <a:solidFill>
            <a:srgbClr val="808080"/>
          </a:solidFill>
        </a:ln>
      </c:spPr>
    </c:plotArea>
    <c:legend>
      <c:legendPos val="r"/>
      <c:layout>
        <c:manualLayout>
          <c:xMode val="edge"/>
          <c:yMode val="edge"/>
          <c:x val="0.79475"/>
          <c:y val="0.3685"/>
          <c:w val="0.20525"/>
          <c:h val="0.195"/>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Figure 3: Outpatient visits due to influenza pandemic</a:t>
            </a:r>
          </a:p>
        </c:rich>
      </c:tx>
      <c:layout>
        <c:manualLayout>
          <c:xMode val="factor"/>
          <c:yMode val="factor"/>
          <c:x val="-0.03975"/>
          <c:y val="-0.018"/>
        </c:manualLayout>
      </c:layout>
      <c:spPr>
        <a:noFill/>
        <a:ln>
          <a:noFill/>
        </a:ln>
      </c:spPr>
    </c:title>
    <c:plotArea>
      <c:layout>
        <c:manualLayout>
          <c:xMode val="edge"/>
          <c:yMode val="edge"/>
          <c:x val="0.03775"/>
          <c:y val="0.14625"/>
          <c:w val="0.79225"/>
          <c:h val="0.7565"/>
        </c:manualLayout>
      </c:layout>
      <c:lineChart>
        <c:grouping val="standard"/>
        <c:varyColors val="0"/>
        <c:ser>
          <c:idx val="2"/>
          <c:order val="0"/>
          <c:tx>
            <c:v>maximum</c:v>
          </c:tx>
          <c:spPr>
            <a:ln w="127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entry'!#REF!</c:f>
              <c:strCache>
                <c:ptCount val="1"/>
                <c:pt idx="0">
                  <c:v>1</c:v>
                </c:pt>
              </c:strCache>
            </c:strRef>
          </c:cat>
          <c:val>
            <c:numRef>
              <c:f>'data entry'!$W$67:$Y$67</c:f>
              <c:numCache>
                <c:ptCount val="3"/>
                <c:pt idx="0">
                  <c:v>12094573.631033873</c:v>
                </c:pt>
                <c:pt idx="1">
                  <c:v>24255800.26608249</c:v>
                </c:pt>
                <c:pt idx="2">
                  <c:v>33478224.02724195</c:v>
                </c:pt>
              </c:numCache>
            </c:numRef>
          </c:val>
          <c:smooth val="0"/>
        </c:ser>
        <c:ser>
          <c:idx val="1"/>
          <c:order val="1"/>
          <c:tx>
            <c:v>most likely</c:v>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entry'!#REF!</c:f>
              <c:strCache>
                <c:ptCount val="1"/>
                <c:pt idx="0">
                  <c:v>1</c:v>
                </c:pt>
              </c:strCache>
            </c:strRef>
          </c:cat>
          <c:val>
            <c:numRef>
              <c:f>'data entry'!$W$65:$Y$65</c:f>
              <c:numCache>
                <c:ptCount val="3"/>
                <c:pt idx="0">
                  <c:v>11339779.496581802</c:v>
                </c:pt>
                <c:pt idx="1">
                  <c:v>22744456.57248964</c:v>
                </c:pt>
                <c:pt idx="2">
                  <c:v>31387873.458105944</c:v>
                </c:pt>
              </c:numCache>
            </c:numRef>
          </c:val>
          <c:smooth val="0"/>
        </c:ser>
        <c:ser>
          <c:idx val="0"/>
          <c:order val="2"/>
          <c:tx>
            <c:v>minimum</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entry'!#REF!</c:f>
              <c:strCache>
                <c:ptCount val="1"/>
                <c:pt idx="0">
                  <c:v>1</c:v>
                </c:pt>
              </c:strCache>
            </c:strRef>
          </c:cat>
          <c:val>
            <c:numRef>
              <c:f>'data entry'!$W$66:$Y$66</c:f>
              <c:numCache>
                <c:ptCount val="3"/>
                <c:pt idx="0">
                  <c:v>10584985.362129739</c:v>
                </c:pt>
                <c:pt idx="1">
                  <c:v>21233112.878896795</c:v>
                </c:pt>
                <c:pt idx="2">
                  <c:v>29297522.888969943</c:v>
                </c:pt>
              </c:numCache>
            </c:numRef>
          </c:val>
          <c:smooth val="0"/>
        </c:ser>
        <c:marker val="1"/>
        <c:axId val="37580574"/>
        <c:axId val="2680847"/>
      </c:lineChart>
      <c:catAx>
        <c:axId val="37580574"/>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Gross attack rate</a:t>
                </a:r>
              </a:p>
            </c:rich>
          </c:tx>
          <c:layout>
            <c:manualLayout>
              <c:xMode val="factor"/>
              <c:yMode val="factor"/>
              <c:x val="0"/>
              <c:y val="0"/>
            </c:manualLayout>
          </c:layout>
          <c:overlay val="0"/>
          <c:spPr>
            <a:noFill/>
            <a:ln>
              <a:noFill/>
            </a:ln>
          </c:spPr>
        </c:title>
        <c:delete val="0"/>
        <c:numFmt formatCode="0%" sourceLinked="0"/>
        <c:majorTickMark val="cross"/>
        <c:minorTickMark val="none"/>
        <c:tickLblPos val="nextTo"/>
        <c:spPr>
          <a:ln w="12700">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80847"/>
        <c:crosses val="autoZero"/>
        <c:auto val="1"/>
        <c:lblOffset val="100"/>
        <c:tickLblSkip val="1"/>
        <c:noMultiLvlLbl val="0"/>
      </c:catAx>
      <c:valAx>
        <c:axId val="2680847"/>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Cases ('000)
</a:t>
                </a:r>
              </a:p>
            </c:rich>
          </c:tx>
          <c:layout>
            <c:manualLayout>
              <c:xMode val="factor"/>
              <c:yMode val="factor"/>
              <c:x val="0.013"/>
              <c:y val="-0.002"/>
            </c:manualLayout>
          </c:layout>
          <c:overlay val="0"/>
          <c:spPr>
            <a:noFill/>
            <a:ln>
              <a:noFill/>
            </a:ln>
          </c:spPr>
        </c:title>
        <c:delete val="0"/>
        <c:numFmt formatCode="#,##0" sourceLinked="0"/>
        <c:majorTickMark val="cross"/>
        <c:minorTickMark val="none"/>
        <c:tickLblPos val="nextTo"/>
        <c:spPr>
          <a:ln w="12700">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7580574"/>
        <c:crossesAt val="1"/>
        <c:crossBetween val="midCat"/>
        <c:dispUnits/>
      </c:valAx>
      <c:spPr>
        <a:solidFill>
          <a:srgbClr val="FFFFFF"/>
        </a:solidFill>
        <a:ln w="12700">
          <a:solidFill>
            <a:srgbClr val="808080"/>
          </a:solidFill>
        </a:ln>
      </c:spPr>
    </c:plotArea>
    <c:legend>
      <c:legendPos val="r"/>
      <c:layout>
        <c:manualLayout>
          <c:xMode val="edge"/>
          <c:yMode val="edge"/>
          <c:x val="0.83025"/>
          <c:y val="0.32925"/>
          <c:w val="0.16675"/>
          <c:h val="0.234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http://www.pandemicflu.gov/plan/tools.html" TargetMode="External" /><Relationship Id="rId2" Type="http://schemas.openxmlformats.org/officeDocument/2006/relationships/image" Target="../media/image1.png" /><Relationship Id="rId3" Type="http://schemas.openxmlformats.org/officeDocument/2006/relationships/hyperlink" Target="http://www.cdc.gov/" TargetMode="External" /><Relationship Id="rId4" Type="http://schemas.openxmlformats.org/officeDocument/2006/relationships/hyperlink" Target="http://www.cdc.gov/" TargetMode="External" /></Relationships>
</file>

<file path=xl/drawings/_rels/drawing11.xml.rels><?xml version="1.0" encoding="utf-8" standalone="yes"?><Relationships xmlns="http://schemas.openxmlformats.org/package/2006/relationships"><Relationship Id="rId1" Type="http://schemas.openxmlformats.org/officeDocument/2006/relationships/hyperlink" Target="http://www.pandemicflu.gov/plan/tools.html" TargetMode="External" /><Relationship Id="rId2" Type="http://schemas.openxmlformats.org/officeDocument/2006/relationships/image" Target="../media/image1.png" /><Relationship Id="rId3" Type="http://schemas.openxmlformats.org/officeDocument/2006/relationships/hyperlink" Target="http://www.cdc.gov/" TargetMode="External" /><Relationship Id="rId4" Type="http://schemas.openxmlformats.org/officeDocument/2006/relationships/hyperlink" Target="http://www.cdc.gov/" TargetMode="External" /></Relationships>
</file>

<file path=xl/drawings/_rels/drawing12.xml.rels><?xml version="1.0" encoding="utf-8" standalone="yes"?><Relationships xmlns="http://schemas.openxmlformats.org/package/2006/relationships"><Relationship Id="rId1" Type="http://schemas.openxmlformats.org/officeDocument/2006/relationships/hyperlink" Target="http://www.pandemicflu.gov/plan/tools.html" TargetMode="External" /><Relationship Id="rId2" Type="http://schemas.openxmlformats.org/officeDocument/2006/relationships/image" Target="../media/image1.png" /><Relationship Id="rId3" Type="http://schemas.openxmlformats.org/officeDocument/2006/relationships/hyperlink" Target="http://www.cdc.gov/" TargetMode="External" /><Relationship Id="rId4" Type="http://schemas.openxmlformats.org/officeDocument/2006/relationships/hyperlink" Target="http://www.cdc.gov/" TargetMode="External" /></Relationships>
</file>

<file path=xl/drawings/_rels/drawing13.xml.rels><?xml version="1.0" encoding="utf-8" standalone="yes"?><Relationships xmlns="http://schemas.openxmlformats.org/package/2006/relationships"><Relationship Id="rId1" Type="http://schemas.openxmlformats.org/officeDocument/2006/relationships/hyperlink" Target="http://www.pandemicflu.gov/plan/tools.html" TargetMode="External" /><Relationship Id="rId2" Type="http://schemas.openxmlformats.org/officeDocument/2006/relationships/image" Target="../media/image1.png" /><Relationship Id="rId3" Type="http://schemas.openxmlformats.org/officeDocument/2006/relationships/hyperlink" Target="http://www.cdc.gov/" TargetMode="External" /><Relationship Id="rId4" Type="http://schemas.openxmlformats.org/officeDocument/2006/relationships/hyperlink" Target="http://www.cdc.gov/"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http://www.pandemicflu.gov/plan/tools.html" TargetMode="External" /><Relationship Id="rId5" Type="http://schemas.openxmlformats.org/officeDocument/2006/relationships/image" Target="../media/image1.png" /><Relationship Id="rId6" Type="http://schemas.openxmlformats.org/officeDocument/2006/relationships/hyperlink" Target="http://www.cdc.gov/" TargetMode="External" /><Relationship Id="rId7" Type="http://schemas.openxmlformats.org/officeDocument/2006/relationships/hyperlink" Target="http://www.cdc.gov/"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hyperlink" Target="http://www.pandemicflu.gov/plan/tools.html" TargetMode="External" /><Relationship Id="rId2" Type="http://schemas.openxmlformats.org/officeDocument/2006/relationships/image" Target="../media/image1.png" /><Relationship Id="rId3" Type="http://schemas.openxmlformats.org/officeDocument/2006/relationships/hyperlink" Target="http://www.cdc.gov/" TargetMode="External" /><Relationship Id="rId4" Type="http://schemas.openxmlformats.org/officeDocument/2006/relationships/hyperlink" Target="http://www.cdc.gov/"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http://www.pandemicflu.gov/plan/tools.html" TargetMode="External" /><Relationship Id="rId2" Type="http://schemas.openxmlformats.org/officeDocument/2006/relationships/image" Target="../media/image1.png" /><Relationship Id="rId3" Type="http://schemas.openxmlformats.org/officeDocument/2006/relationships/hyperlink" Target="http://www.cdc.gov/" TargetMode="External" /><Relationship Id="rId4" Type="http://schemas.openxmlformats.org/officeDocument/2006/relationships/hyperlink" Target="http://www.cdc.gov/"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www.pandemicflu.gov/plan/tools.html" TargetMode="External" /><Relationship Id="rId2" Type="http://schemas.openxmlformats.org/officeDocument/2006/relationships/image" Target="../media/image1.png" /><Relationship Id="rId3" Type="http://schemas.openxmlformats.org/officeDocument/2006/relationships/hyperlink" Target="http://www.cdc.gov/" TargetMode="External" /><Relationship Id="rId4" Type="http://schemas.openxmlformats.org/officeDocument/2006/relationships/hyperlink" Target="http://www.cdc.gov/"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http://www.pandemicflu.gov/plan/tools.html" TargetMode="External" /><Relationship Id="rId2" Type="http://schemas.openxmlformats.org/officeDocument/2006/relationships/image" Target="../media/image1.png" /><Relationship Id="rId3" Type="http://schemas.openxmlformats.org/officeDocument/2006/relationships/hyperlink" Target="http://www.cdc.gov/" TargetMode="External" /><Relationship Id="rId4" Type="http://schemas.openxmlformats.org/officeDocument/2006/relationships/hyperlink" Target="http://www.cdc.gov/"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http://www.pandemicflu.gov/plan/tools.html" TargetMode="External" /><Relationship Id="rId2" Type="http://schemas.openxmlformats.org/officeDocument/2006/relationships/image" Target="../media/image1.png" /><Relationship Id="rId3" Type="http://schemas.openxmlformats.org/officeDocument/2006/relationships/hyperlink" Target="http://www.cdc.gov/" TargetMode="External" /><Relationship Id="rId4" Type="http://schemas.openxmlformats.org/officeDocument/2006/relationships/hyperlink" Target="http://www.cdc.gov/"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http://www.pandemicflu.gov/plan/tools.html" TargetMode="External" /><Relationship Id="rId2" Type="http://schemas.openxmlformats.org/officeDocument/2006/relationships/image" Target="../media/image1.png" /><Relationship Id="rId3" Type="http://schemas.openxmlformats.org/officeDocument/2006/relationships/hyperlink" Target="http://www.cdc.gov/" TargetMode="External" /><Relationship Id="rId4" Type="http://schemas.openxmlformats.org/officeDocument/2006/relationships/hyperlink" Target="http://www.cdc.gov/" TargetMode="External" /></Relationships>
</file>

<file path=xl/drawings/_rels/drawing8.xml.rels><?xml version="1.0" encoding="utf-8" standalone="yes"?><Relationships xmlns="http://schemas.openxmlformats.org/package/2006/relationships"><Relationship Id="rId1" Type="http://schemas.openxmlformats.org/officeDocument/2006/relationships/hyperlink" Target="http://www.pandemicflu.gov/plan/tools.html" TargetMode="External" /><Relationship Id="rId2" Type="http://schemas.openxmlformats.org/officeDocument/2006/relationships/image" Target="../media/image1.png" /><Relationship Id="rId3" Type="http://schemas.openxmlformats.org/officeDocument/2006/relationships/hyperlink" Target="http://www.cdc.gov/" TargetMode="External" /><Relationship Id="rId4" Type="http://schemas.openxmlformats.org/officeDocument/2006/relationships/hyperlink" Target="http://www.cdc.gov/" TargetMode="External" /></Relationships>
</file>

<file path=xl/drawings/_rels/drawing9.xml.rels><?xml version="1.0" encoding="utf-8" standalone="yes"?><Relationships xmlns="http://schemas.openxmlformats.org/package/2006/relationships"><Relationship Id="rId1" Type="http://schemas.openxmlformats.org/officeDocument/2006/relationships/hyperlink" Target="http://www.pandemicflu.gov/plan/tools.html" TargetMode="External" /><Relationship Id="rId2" Type="http://schemas.openxmlformats.org/officeDocument/2006/relationships/image" Target="../media/image1.png" /><Relationship Id="rId3" Type="http://schemas.openxmlformats.org/officeDocument/2006/relationships/hyperlink" Target="http://www.cdc.gov/" TargetMode="External" /><Relationship Id="rId4" Type="http://schemas.openxmlformats.org/officeDocument/2006/relationships/hyperlink" Target="http://www.cdc.gov/"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123825</xdr:rowOff>
    </xdr:from>
    <xdr:to>
      <xdr:col>12</xdr:col>
      <xdr:colOff>561975</xdr:colOff>
      <xdr:row>7</xdr:row>
      <xdr:rowOff>104775</xdr:rowOff>
    </xdr:to>
    <xdr:sp>
      <xdr:nvSpPr>
        <xdr:cNvPr id="1" name="WordArt 1"/>
        <xdr:cNvSpPr>
          <a:spLocks/>
        </xdr:cNvSpPr>
      </xdr:nvSpPr>
      <xdr:spPr>
        <a:xfrm>
          <a:off x="1495425" y="123825"/>
          <a:ext cx="6400800" cy="1114425"/>
        </a:xfrm>
        <a:prstGeom prst="rect"/>
        <a:noFill/>
      </xdr:spPr>
      <xdr:txBody>
        <a:bodyPr fromWordArt="1" wrap="none" lIns="91440" tIns="45720" rIns="91440" bIns="45720">
          <a:prstTxWarp prst="textFadeUp">
            <a:avLst>
              <a:gd name="adj" fmla="val 9990"/>
            </a:avLst>
          </a:prstTxWarp>
        </a:bodyPr>
        <a:p>
          <a:pPr algn="ctr"/>
          <a:r>
            <a:rPr sz="4000" kern="10" spc="0">
              <a:ln w="12700" cmpd="sng">
                <a:solidFill>
                  <a:srgbClr val="B2B2B2"/>
                </a:solidFill>
                <a:headEnd type="none"/>
                <a:tailEnd type="none"/>
              </a:ln>
              <a:gradFill rotWithShape="1">
                <a:gsLst>
                  <a:gs pos="0">
                    <a:srgbClr val="520402"/>
                  </a:gs>
                  <a:gs pos="100000">
                    <a:srgbClr val="FFCC00"/>
                  </a:gs>
                </a:gsLst>
                <a:lin ang="5400000" scaled="1"/>
              </a:gradFill>
              <a:effectLst>
                <a:outerShdw dist="35921" dir="2700000" sy="50000" algn="b">
                  <a:srgbClr val="875B0D">
                    <a:alpha val="69999"/>
                  </a:srgbClr>
                </a:outerShdw>
              </a:effectLst>
              <a:latin typeface="Arial Black"/>
              <a:cs typeface="Arial Black"/>
            </a:rPr>
            <a:t>FLUAID Special Edition</a:t>
          </a:r>
        </a:p>
      </xdr:txBody>
    </xdr:sp>
    <xdr:clientData/>
  </xdr:twoCellAnchor>
  <xdr:oneCellAnchor>
    <xdr:from>
      <xdr:col>3</xdr:col>
      <xdr:colOff>28575</xdr:colOff>
      <xdr:row>22</xdr:row>
      <xdr:rowOff>152400</xdr:rowOff>
    </xdr:from>
    <xdr:ext cx="5514975" cy="923925"/>
    <xdr:sp>
      <xdr:nvSpPr>
        <xdr:cNvPr id="2" name="Text Box 6"/>
        <xdr:cNvSpPr txBox="1">
          <a:spLocks noChangeArrowheads="1"/>
        </xdr:cNvSpPr>
      </xdr:nvSpPr>
      <xdr:spPr>
        <a:xfrm>
          <a:off x="1876425" y="3971925"/>
          <a:ext cx="5514975" cy="923925"/>
        </a:xfrm>
        <a:prstGeom prst="rect">
          <a:avLst/>
        </a:prstGeom>
        <a:solidFill>
          <a:srgbClr val="FFFFFF"/>
        </a:solidFill>
        <a:ln w="38100" cmpd="sng">
          <a:solidFill>
            <a:srgbClr val="000000"/>
          </a:solidFill>
          <a:headEnd type="none"/>
          <a:tailEnd type="none"/>
        </a:ln>
      </xdr:spPr>
      <xdr:txBody>
        <a:bodyPr vertOverflow="clip" wrap="square" lIns="27432" tIns="27432" rIns="27432" bIns="27432" anchor="ctr"/>
        <a:p>
          <a:pPr algn="ctr">
            <a:defRPr/>
          </a:pPr>
          <a:r>
            <a:rPr lang="en-US" cap="none" sz="1150" b="1" i="0" u="none" baseline="0">
              <a:solidFill>
                <a:srgbClr val="800000"/>
              </a:solidFill>
              <a:latin typeface="Arial"/>
              <a:ea typeface="Arial"/>
              <a:cs typeface="Arial"/>
            </a:rPr>
            <a:t>This is a BETA TEST version. 
</a:t>
          </a:r>
          <a:r>
            <a:rPr lang="en-US" cap="none" sz="1150" b="1" i="0" u="none" baseline="0">
              <a:solidFill>
                <a:srgbClr val="800000"/>
              </a:solidFill>
              <a:latin typeface="Arial"/>
              <a:ea typeface="Arial"/>
              <a:cs typeface="Arial"/>
            </a:rPr>
            <a:t>The work represents the input of the authors and may not necessarily represent the official  position of the Centers for Disease Control and Prevention (CDC).</a:t>
          </a:r>
        </a:p>
      </xdr:txBody>
    </xdr:sp>
    <xdr:clientData/>
  </xdr:oneCellAnchor>
  <xdr:twoCellAnchor>
    <xdr:from>
      <xdr:col>0</xdr:col>
      <xdr:colOff>19050</xdr:colOff>
      <xdr:row>0</xdr:row>
      <xdr:rowOff>47625</xdr:rowOff>
    </xdr:from>
    <xdr:to>
      <xdr:col>1</xdr:col>
      <xdr:colOff>514350</xdr:colOff>
      <xdr:row>4</xdr:row>
      <xdr:rowOff>38100</xdr:rowOff>
    </xdr:to>
    <xdr:pic>
      <xdr:nvPicPr>
        <xdr:cNvPr id="3" name="Picture 5" descr="CDCLOGO-rgb_good"/>
        <xdr:cNvPicPr preferRelativeResize="1">
          <a:picLocks noChangeAspect="1"/>
        </xdr:cNvPicPr>
      </xdr:nvPicPr>
      <xdr:blipFill>
        <a:blip r:embed="rId1"/>
        <a:stretch>
          <a:fillRect/>
        </a:stretch>
      </xdr:blipFill>
      <xdr:spPr>
        <a:xfrm>
          <a:off x="19050" y="47625"/>
          <a:ext cx="1123950"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9</xdr:col>
      <xdr:colOff>590550</xdr:colOff>
      <xdr:row>7</xdr:row>
      <xdr:rowOff>152400</xdr:rowOff>
    </xdr:to>
    <xdr:sp>
      <xdr:nvSpPr>
        <xdr:cNvPr id="1" name="Text Box 29"/>
        <xdr:cNvSpPr txBox="1">
          <a:spLocks noChangeArrowheads="1"/>
        </xdr:cNvSpPr>
      </xdr:nvSpPr>
      <xdr:spPr>
        <a:xfrm>
          <a:off x="142875" y="733425"/>
          <a:ext cx="6372225" cy="552450"/>
        </a:xfrm>
        <a:prstGeom prst="rect">
          <a:avLst/>
        </a:prstGeom>
        <a:solidFill>
          <a:srgbClr val="FFCC00"/>
        </a:solidFill>
        <a:ln w="19050" cmpd="sng">
          <a:solidFill>
            <a:srgbClr val="000000"/>
          </a:solidFill>
          <a:headEnd type="none"/>
          <a:tailEnd type="none"/>
        </a:ln>
      </xdr:spPr>
      <xdr:txBody>
        <a:bodyPr vertOverflow="clip" wrap="square" lIns="45720" tIns="41148" rIns="45720" bIns="41148" anchor="ctr"/>
        <a:p>
          <a:pPr algn="ctr">
            <a:defRPr/>
          </a:pPr>
          <a:r>
            <a:rPr lang="en-US" cap="none" sz="2000" b="1" i="0" u="none" baseline="0">
              <a:solidFill>
                <a:srgbClr val="000000"/>
              </a:solidFill>
              <a:latin typeface="Arial"/>
              <a:ea typeface="Arial"/>
              <a:cs typeface="Arial"/>
            </a:rPr>
            <a:t>REVIEW YOUR INPUTS</a:t>
          </a:r>
        </a:p>
      </xdr:txBody>
    </xdr:sp>
    <xdr:clientData/>
  </xdr:twoCellAnchor>
  <xdr:twoCellAnchor>
    <xdr:from>
      <xdr:col>2</xdr:col>
      <xdr:colOff>28575</xdr:colOff>
      <xdr:row>0</xdr:row>
      <xdr:rowOff>104775</xdr:rowOff>
    </xdr:from>
    <xdr:to>
      <xdr:col>4</xdr:col>
      <xdr:colOff>257175</xdr:colOff>
      <xdr:row>3</xdr:row>
      <xdr:rowOff>142875</xdr:rowOff>
    </xdr:to>
    <xdr:sp>
      <xdr:nvSpPr>
        <xdr:cNvPr id="2" name="WordArt 36">
          <a:hlinkClick r:id="rId1"/>
        </xdr:cNvPr>
        <xdr:cNvSpPr>
          <a:spLocks/>
        </xdr:cNvSpPr>
      </xdr:nvSpPr>
      <xdr:spPr>
        <a:xfrm>
          <a:off x="981075" y="104775"/>
          <a:ext cx="1704975" cy="523875"/>
        </a:xfrm>
        <a:prstGeom prst="rect"/>
        <a:noFill/>
      </xdr:spPr>
      <xdr:txBody>
        <a:bodyPr fromWordArt="1" wrap="none" lIns="91440" tIns="45720" rIns="91440" bIns="45720">
          <a:prstTxWarp prst="textPlain"/>
        </a:bodyPr>
        <a:p>
          <a:pPr algn="ctr"/>
          <a:r>
            <a:rPr sz="4000" kern="10" spc="0">
              <a:ln w="9525" cmpd="sng">
                <a:solidFill>
                  <a:srgbClr val="808080"/>
                </a:solidFill>
                <a:headEnd type="none"/>
                <a:tailEnd type="none"/>
              </a:ln>
              <a:gradFill rotWithShape="1">
                <a:gsLst>
                  <a:gs pos="0">
                    <a:srgbClr val="993300"/>
                  </a:gs>
                  <a:gs pos="100000">
                    <a:srgbClr val="FFCC00"/>
                  </a:gs>
                </a:gsLst>
                <a:lin ang="5400000" scaled="1"/>
              </a:gradFill>
              <a:latin typeface="Arial Black"/>
              <a:cs typeface="Arial Black"/>
            </a:rPr>
            <a:t>FLUAID Special Edition</a:t>
          </a:r>
        </a:p>
      </xdr:txBody>
    </xdr:sp>
    <xdr:clientData/>
  </xdr:twoCellAnchor>
  <xdr:twoCellAnchor>
    <xdr:from>
      <xdr:col>0</xdr:col>
      <xdr:colOff>57150</xdr:colOff>
      <xdr:row>0</xdr:row>
      <xdr:rowOff>57150</xdr:rowOff>
    </xdr:from>
    <xdr:to>
      <xdr:col>1</xdr:col>
      <xdr:colOff>790575</xdr:colOff>
      <xdr:row>3</xdr:row>
      <xdr:rowOff>66675</xdr:rowOff>
    </xdr:to>
    <xdr:pic>
      <xdr:nvPicPr>
        <xdr:cNvPr id="3" name="Picture 5" descr="CDCLOGO-rgb_good">
          <a:hlinkClick r:id="rId4"/>
        </xdr:cNvPr>
        <xdr:cNvPicPr preferRelativeResize="1">
          <a:picLocks noChangeAspect="1"/>
        </xdr:cNvPicPr>
      </xdr:nvPicPr>
      <xdr:blipFill>
        <a:blip r:embed="rId2"/>
        <a:stretch>
          <a:fillRect/>
        </a:stretch>
      </xdr:blipFill>
      <xdr:spPr>
        <a:xfrm>
          <a:off x="57150" y="57150"/>
          <a:ext cx="866775" cy="495300"/>
        </a:xfrm>
        <a:prstGeom prst="rect">
          <a:avLst/>
        </a:prstGeom>
        <a:noFill/>
        <a:ln w="9525" cmpd="sng">
          <a:noFill/>
        </a:ln>
      </xdr:spPr>
    </xdr:pic>
    <xdr:clientData/>
  </xdr:twoCellAnchor>
  <xdr:twoCellAnchor>
    <xdr:from>
      <xdr:col>12</xdr:col>
      <xdr:colOff>419100</xdr:colOff>
      <xdr:row>0</xdr:row>
      <xdr:rowOff>28575</xdr:rowOff>
    </xdr:from>
    <xdr:to>
      <xdr:col>14</xdr:col>
      <xdr:colOff>19050</xdr:colOff>
      <xdr:row>3</xdr:row>
      <xdr:rowOff>104775</xdr:rowOff>
    </xdr:to>
    <xdr:sp>
      <xdr:nvSpPr>
        <xdr:cNvPr id="4" name="Rectangle 38"/>
        <xdr:cNvSpPr>
          <a:spLocks/>
        </xdr:cNvSpPr>
      </xdr:nvSpPr>
      <xdr:spPr>
        <a:xfrm>
          <a:off x="8172450" y="28575"/>
          <a:ext cx="819150" cy="561975"/>
        </a:xfrm>
        <a:prstGeom prst="rect">
          <a:avLst/>
        </a:prstGeom>
        <a:solidFill>
          <a:srgbClr val="FFCC00"/>
        </a:solidFill>
        <a:ln w="19050" cmpd="sng">
          <a:solidFill>
            <a:srgbClr val="000000"/>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latin typeface="Arial"/>
              <a:ea typeface="Arial"/>
              <a:cs typeface="Arial"/>
            </a:rPr>
            <a:t>PAGE 
10 of 14</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xdr:row>
      <xdr:rowOff>104775</xdr:rowOff>
    </xdr:from>
    <xdr:to>
      <xdr:col>14</xdr:col>
      <xdr:colOff>9525</xdr:colOff>
      <xdr:row>8</xdr:row>
      <xdr:rowOff>9525</xdr:rowOff>
    </xdr:to>
    <xdr:sp>
      <xdr:nvSpPr>
        <xdr:cNvPr id="1" name="Text Box 30"/>
        <xdr:cNvSpPr txBox="1">
          <a:spLocks noChangeArrowheads="1"/>
        </xdr:cNvSpPr>
      </xdr:nvSpPr>
      <xdr:spPr>
        <a:xfrm>
          <a:off x="209550" y="752475"/>
          <a:ext cx="7677150" cy="552450"/>
        </a:xfrm>
        <a:prstGeom prst="rect">
          <a:avLst/>
        </a:prstGeom>
        <a:solidFill>
          <a:srgbClr val="FFCC00"/>
        </a:solidFill>
        <a:ln w="19050" cmpd="sng">
          <a:solidFill>
            <a:srgbClr val="000000"/>
          </a:solidFill>
          <a:headEnd type="none"/>
          <a:tailEnd type="none"/>
        </a:ln>
      </xdr:spPr>
      <xdr:txBody>
        <a:bodyPr vertOverflow="clip" wrap="square" lIns="45720" tIns="41148" rIns="45720" bIns="41148" anchor="ctr"/>
        <a:p>
          <a:pPr algn="ctr">
            <a:defRPr/>
          </a:pPr>
          <a:r>
            <a:rPr lang="en-US" cap="none" sz="2000" b="1" i="0" u="none" baseline="0">
              <a:solidFill>
                <a:srgbClr val="000000"/>
              </a:solidFill>
              <a:latin typeface="Arial"/>
              <a:ea typeface="Arial"/>
              <a:cs typeface="Arial"/>
            </a:rPr>
            <a:t>REVIEW YOUR INPUTS</a:t>
          </a:r>
        </a:p>
      </xdr:txBody>
    </xdr:sp>
    <xdr:clientData/>
  </xdr:twoCellAnchor>
  <xdr:twoCellAnchor>
    <xdr:from>
      <xdr:col>2</xdr:col>
      <xdr:colOff>142875</xdr:colOff>
      <xdr:row>0</xdr:row>
      <xdr:rowOff>104775</xdr:rowOff>
    </xdr:from>
    <xdr:to>
      <xdr:col>5</xdr:col>
      <xdr:colOff>371475</xdr:colOff>
      <xdr:row>3</xdr:row>
      <xdr:rowOff>142875</xdr:rowOff>
    </xdr:to>
    <xdr:sp>
      <xdr:nvSpPr>
        <xdr:cNvPr id="2" name="WordArt 34">
          <a:hlinkClick r:id="rId1"/>
        </xdr:cNvPr>
        <xdr:cNvSpPr>
          <a:spLocks/>
        </xdr:cNvSpPr>
      </xdr:nvSpPr>
      <xdr:spPr>
        <a:xfrm>
          <a:off x="981075" y="104775"/>
          <a:ext cx="1704975" cy="523875"/>
        </a:xfrm>
        <a:prstGeom prst="rect"/>
        <a:noFill/>
      </xdr:spPr>
      <xdr:txBody>
        <a:bodyPr fromWordArt="1" wrap="none" lIns="91440" tIns="45720" rIns="91440" bIns="45720">
          <a:prstTxWarp prst="textPlain"/>
        </a:bodyPr>
        <a:p>
          <a:pPr algn="ctr"/>
          <a:r>
            <a:rPr sz="4000" kern="10" spc="0">
              <a:ln w="9525" cmpd="sng">
                <a:solidFill>
                  <a:srgbClr val="808080"/>
                </a:solidFill>
                <a:headEnd type="none"/>
                <a:tailEnd type="none"/>
              </a:ln>
              <a:gradFill rotWithShape="1">
                <a:gsLst>
                  <a:gs pos="0">
                    <a:srgbClr val="993300"/>
                  </a:gs>
                  <a:gs pos="100000">
                    <a:srgbClr val="FFCC00"/>
                  </a:gs>
                </a:gsLst>
                <a:lin ang="5400000" scaled="1"/>
              </a:gradFill>
              <a:latin typeface="Arial Black"/>
              <a:cs typeface="Arial Black"/>
            </a:rPr>
            <a:t>FLUAID Special Edition</a:t>
          </a:r>
        </a:p>
      </xdr:txBody>
    </xdr:sp>
    <xdr:clientData/>
  </xdr:twoCellAnchor>
  <xdr:twoCellAnchor>
    <xdr:from>
      <xdr:col>0</xdr:col>
      <xdr:colOff>57150</xdr:colOff>
      <xdr:row>0</xdr:row>
      <xdr:rowOff>57150</xdr:rowOff>
    </xdr:from>
    <xdr:to>
      <xdr:col>2</xdr:col>
      <xdr:colOff>85725</xdr:colOff>
      <xdr:row>3</xdr:row>
      <xdr:rowOff>66675</xdr:rowOff>
    </xdr:to>
    <xdr:pic>
      <xdr:nvPicPr>
        <xdr:cNvPr id="3" name="Picture 5" descr="CDCLOGO-rgb_good">
          <a:hlinkClick r:id="rId4"/>
        </xdr:cNvPr>
        <xdr:cNvPicPr preferRelativeResize="1">
          <a:picLocks noChangeAspect="1"/>
        </xdr:cNvPicPr>
      </xdr:nvPicPr>
      <xdr:blipFill>
        <a:blip r:embed="rId2"/>
        <a:stretch>
          <a:fillRect/>
        </a:stretch>
      </xdr:blipFill>
      <xdr:spPr>
        <a:xfrm>
          <a:off x="57150" y="57150"/>
          <a:ext cx="866775" cy="495300"/>
        </a:xfrm>
        <a:prstGeom prst="rect">
          <a:avLst/>
        </a:prstGeom>
        <a:noFill/>
        <a:ln w="9525" cmpd="sng">
          <a:noFill/>
        </a:ln>
      </xdr:spPr>
    </xdr:pic>
    <xdr:clientData/>
  </xdr:twoCellAnchor>
  <xdr:twoCellAnchor>
    <xdr:from>
      <xdr:col>14</xdr:col>
      <xdr:colOff>295275</xdr:colOff>
      <xdr:row>0</xdr:row>
      <xdr:rowOff>28575</xdr:rowOff>
    </xdr:from>
    <xdr:to>
      <xdr:col>15</xdr:col>
      <xdr:colOff>504825</xdr:colOff>
      <xdr:row>3</xdr:row>
      <xdr:rowOff>104775</xdr:rowOff>
    </xdr:to>
    <xdr:sp>
      <xdr:nvSpPr>
        <xdr:cNvPr id="4" name="Rectangle 36"/>
        <xdr:cNvSpPr>
          <a:spLocks/>
        </xdr:cNvSpPr>
      </xdr:nvSpPr>
      <xdr:spPr>
        <a:xfrm>
          <a:off x="8172450" y="28575"/>
          <a:ext cx="819150" cy="561975"/>
        </a:xfrm>
        <a:prstGeom prst="rect">
          <a:avLst/>
        </a:prstGeom>
        <a:solidFill>
          <a:srgbClr val="FFCC00"/>
        </a:solidFill>
        <a:ln w="19050" cmpd="sng">
          <a:solidFill>
            <a:srgbClr val="000000"/>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latin typeface="Arial"/>
              <a:ea typeface="Arial"/>
              <a:cs typeface="Arial"/>
            </a:rPr>
            <a:t>PAGE 
11 of 14</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114300</xdr:rowOff>
    </xdr:from>
    <xdr:to>
      <xdr:col>13</xdr:col>
      <xdr:colOff>600075</xdr:colOff>
      <xdr:row>8</xdr:row>
      <xdr:rowOff>19050</xdr:rowOff>
    </xdr:to>
    <xdr:sp>
      <xdr:nvSpPr>
        <xdr:cNvPr id="1" name="Text Box 24"/>
        <xdr:cNvSpPr txBox="1">
          <a:spLocks noChangeArrowheads="1"/>
        </xdr:cNvSpPr>
      </xdr:nvSpPr>
      <xdr:spPr>
        <a:xfrm>
          <a:off x="228600" y="762000"/>
          <a:ext cx="7200900" cy="552450"/>
        </a:xfrm>
        <a:prstGeom prst="rect">
          <a:avLst/>
        </a:prstGeom>
        <a:solidFill>
          <a:srgbClr val="FFCC00"/>
        </a:solidFill>
        <a:ln w="19050" cmpd="sng">
          <a:solidFill>
            <a:srgbClr val="000000"/>
          </a:solidFill>
          <a:headEnd type="none"/>
          <a:tailEnd type="none"/>
        </a:ln>
      </xdr:spPr>
      <xdr:txBody>
        <a:bodyPr vertOverflow="clip" wrap="square" lIns="45720" tIns="41148" rIns="45720" bIns="41148" anchor="ctr"/>
        <a:p>
          <a:pPr algn="ctr">
            <a:defRPr/>
          </a:pPr>
          <a:r>
            <a:rPr lang="en-US" cap="none" sz="2000" b="1" i="0" u="none" baseline="0">
              <a:solidFill>
                <a:srgbClr val="000000"/>
              </a:solidFill>
              <a:latin typeface="Arial"/>
              <a:ea typeface="Arial"/>
              <a:cs typeface="Arial"/>
            </a:rPr>
            <a:t>REVIEW YOUR INPUTS</a:t>
          </a:r>
        </a:p>
      </xdr:txBody>
    </xdr:sp>
    <xdr:clientData/>
  </xdr:twoCellAnchor>
  <xdr:twoCellAnchor>
    <xdr:from>
      <xdr:col>2</xdr:col>
      <xdr:colOff>142875</xdr:colOff>
      <xdr:row>0</xdr:row>
      <xdr:rowOff>104775</xdr:rowOff>
    </xdr:from>
    <xdr:to>
      <xdr:col>5</xdr:col>
      <xdr:colOff>371475</xdr:colOff>
      <xdr:row>3</xdr:row>
      <xdr:rowOff>142875</xdr:rowOff>
    </xdr:to>
    <xdr:sp>
      <xdr:nvSpPr>
        <xdr:cNvPr id="2" name="WordArt 27">
          <a:hlinkClick r:id="rId1"/>
        </xdr:cNvPr>
        <xdr:cNvSpPr>
          <a:spLocks/>
        </xdr:cNvSpPr>
      </xdr:nvSpPr>
      <xdr:spPr>
        <a:xfrm>
          <a:off x="981075" y="104775"/>
          <a:ext cx="1704975" cy="523875"/>
        </a:xfrm>
        <a:prstGeom prst="rect"/>
        <a:noFill/>
      </xdr:spPr>
      <xdr:txBody>
        <a:bodyPr fromWordArt="1" wrap="none" lIns="91440" tIns="45720" rIns="91440" bIns="45720">
          <a:prstTxWarp prst="textPlain"/>
        </a:bodyPr>
        <a:p>
          <a:pPr algn="ctr"/>
          <a:r>
            <a:rPr sz="4000" kern="10" spc="0">
              <a:ln w="9525" cmpd="sng">
                <a:solidFill>
                  <a:srgbClr val="808080"/>
                </a:solidFill>
                <a:headEnd type="none"/>
                <a:tailEnd type="none"/>
              </a:ln>
              <a:gradFill rotWithShape="1">
                <a:gsLst>
                  <a:gs pos="0">
                    <a:srgbClr val="993300"/>
                  </a:gs>
                  <a:gs pos="100000">
                    <a:srgbClr val="FFCC00"/>
                  </a:gs>
                </a:gsLst>
                <a:lin ang="5400000" scaled="1"/>
              </a:gradFill>
              <a:latin typeface="Arial Black"/>
              <a:cs typeface="Arial Black"/>
            </a:rPr>
            <a:t>FLUAID Special Edition</a:t>
          </a:r>
        </a:p>
      </xdr:txBody>
    </xdr:sp>
    <xdr:clientData/>
  </xdr:twoCellAnchor>
  <xdr:twoCellAnchor>
    <xdr:from>
      <xdr:col>0</xdr:col>
      <xdr:colOff>57150</xdr:colOff>
      <xdr:row>0</xdr:row>
      <xdr:rowOff>57150</xdr:rowOff>
    </xdr:from>
    <xdr:to>
      <xdr:col>2</xdr:col>
      <xdr:colOff>85725</xdr:colOff>
      <xdr:row>3</xdr:row>
      <xdr:rowOff>66675</xdr:rowOff>
    </xdr:to>
    <xdr:pic>
      <xdr:nvPicPr>
        <xdr:cNvPr id="3" name="Picture 5" descr="CDCLOGO-rgb_good">
          <a:hlinkClick r:id="rId4"/>
        </xdr:cNvPr>
        <xdr:cNvPicPr preferRelativeResize="1">
          <a:picLocks noChangeAspect="1"/>
        </xdr:cNvPicPr>
      </xdr:nvPicPr>
      <xdr:blipFill>
        <a:blip r:embed="rId2"/>
        <a:stretch>
          <a:fillRect/>
        </a:stretch>
      </xdr:blipFill>
      <xdr:spPr>
        <a:xfrm>
          <a:off x="57150" y="57150"/>
          <a:ext cx="866775" cy="495300"/>
        </a:xfrm>
        <a:prstGeom prst="rect">
          <a:avLst/>
        </a:prstGeom>
        <a:noFill/>
        <a:ln w="9525" cmpd="sng">
          <a:noFill/>
        </a:ln>
      </xdr:spPr>
    </xdr:pic>
    <xdr:clientData/>
  </xdr:twoCellAnchor>
  <xdr:twoCellAnchor>
    <xdr:from>
      <xdr:col>15</xdr:col>
      <xdr:colOff>123825</xdr:colOff>
      <xdr:row>0</xdr:row>
      <xdr:rowOff>28575</xdr:rowOff>
    </xdr:from>
    <xdr:to>
      <xdr:col>16</xdr:col>
      <xdr:colOff>333375</xdr:colOff>
      <xdr:row>3</xdr:row>
      <xdr:rowOff>104775</xdr:rowOff>
    </xdr:to>
    <xdr:sp>
      <xdr:nvSpPr>
        <xdr:cNvPr id="4" name="Rectangle 29"/>
        <xdr:cNvSpPr>
          <a:spLocks/>
        </xdr:cNvSpPr>
      </xdr:nvSpPr>
      <xdr:spPr>
        <a:xfrm>
          <a:off x="8172450" y="28575"/>
          <a:ext cx="819150" cy="561975"/>
        </a:xfrm>
        <a:prstGeom prst="rect">
          <a:avLst/>
        </a:prstGeom>
        <a:solidFill>
          <a:srgbClr val="FFCC00"/>
        </a:solidFill>
        <a:ln w="19050" cmpd="sng">
          <a:solidFill>
            <a:srgbClr val="000000"/>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latin typeface="Arial"/>
              <a:ea typeface="Arial"/>
              <a:cs typeface="Arial"/>
            </a:rPr>
            <a:t>PAGE 
12 of 14</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133350</xdr:rowOff>
    </xdr:from>
    <xdr:to>
      <xdr:col>14</xdr:col>
      <xdr:colOff>9525</xdr:colOff>
      <xdr:row>9</xdr:row>
      <xdr:rowOff>9525</xdr:rowOff>
    </xdr:to>
    <xdr:sp>
      <xdr:nvSpPr>
        <xdr:cNvPr id="1" name="Text Box 36"/>
        <xdr:cNvSpPr txBox="1">
          <a:spLocks noChangeArrowheads="1"/>
        </xdr:cNvSpPr>
      </xdr:nvSpPr>
      <xdr:spPr>
        <a:xfrm>
          <a:off x="219075" y="781050"/>
          <a:ext cx="8267700" cy="552450"/>
        </a:xfrm>
        <a:prstGeom prst="rect">
          <a:avLst/>
        </a:prstGeom>
        <a:solidFill>
          <a:srgbClr val="FFCC00"/>
        </a:solidFill>
        <a:ln w="19050" cmpd="sng">
          <a:solidFill>
            <a:srgbClr val="000000"/>
          </a:solidFill>
          <a:headEnd type="none"/>
          <a:tailEnd type="none"/>
        </a:ln>
      </xdr:spPr>
      <xdr:txBody>
        <a:bodyPr vertOverflow="clip" wrap="square" lIns="45720" tIns="41148" rIns="45720" bIns="41148" anchor="ctr"/>
        <a:p>
          <a:pPr algn="ctr">
            <a:defRPr/>
          </a:pPr>
          <a:r>
            <a:rPr lang="en-US" cap="none" sz="2000" b="1" i="0" u="none" baseline="0">
              <a:solidFill>
                <a:srgbClr val="000000"/>
              </a:solidFill>
              <a:latin typeface="Arial"/>
              <a:ea typeface="Arial"/>
              <a:cs typeface="Arial"/>
            </a:rPr>
            <a:t>RESULTS</a:t>
          </a:r>
        </a:p>
      </xdr:txBody>
    </xdr:sp>
    <xdr:clientData/>
  </xdr:twoCellAnchor>
  <xdr:twoCellAnchor>
    <xdr:from>
      <xdr:col>2</xdr:col>
      <xdr:colOff>142875</xdr:colOff>
      <xdr:row>0</xdr:row>
      <xdr:rowOff>104775</xdr:rowOff>
    </xdr:from>
    <xdr:to>
      <xdr:col>3</xdr:col>
      <xdr:colOff>933450</xdr:colOff>
      <xdr:row>3</xdr:row>
      <xdr:rowOff>142875</xdr:rowOff>
    </xdr:to>
    <xdr:sp>
      <xdr:nvSpPr>
        <xdr:cNvPr id="2" name="WordArt 39">
          <a:hlinkClick r:id="rId1"/>
        </xdr:cNvPr>
        <xdr:cNvSpPr>
          <a:spLocks/>
        </xdr:cNvSpPr>
      </xdr:nvSpPr>
      <xdr:spPr>
        <a:xfrm>
          <a:off x="981075" y="104775"/>
          <a:ext cx="1704975" cy="523875"/>
        </a:xfrm>
        <a:prstGeom prst="rect"/>
        <a:noFill/>
      </xdr:spPr>
      <xdr:txBody>
        <a:bodyPr fromWordArt="1" wrap="none" lIns="91440" tIns="45720" rIns="91440" bIns="45720">
          <a:prstTxWarp prst="textPlain"/>
        </a:bodyPr>
        <a:p>
          <a:pPr algn="ctr"/>
          <a:r>
            <a:rPr sz="4000" kern="10" spc="0">
              <a:ln w="9525" cmpd="sng">
                <a:solidFill>
                  <a:srgbClr val="808080"/>
                </a:solidFill>
                <a:headEnd type="none"/>
                <a:tailEnd type="none"/>
              </a:ln>
              <a:gradFill rotWithShape="1">
                <a:gsLst>
                  <a:gs pos="0">
                    <a:srgbClr val="993300"/>
                  </a:gs>
                  <a:gs pos="100000">
                    <a:srgbClr val="FFCC00"/>
                  </a:gs>
                </a:gsLst>
                <a:lin ang="5400000" scaled="1"/>
              </a:gradFill>
              <a:latin typeface="Arial Black"/>
              <a:cs typeface="Arial Black"/>
            </a:rPr>
            <a:t>FLUAID Special Edition</a:t>
          </a:r>
        </a:p>
      </xdr:txBody>
    </xdr:sp>
    <xdr:clientData/>
  </xdr:twoCellAnchor>
  <xdr:twoCellAnchor>
    <xdr:from>
      <xdr:col>0</xdr:col>
      <xdr:colOff>57150</xdr:colOff>
      <xdr:row>0</xdr:row>
      <xdr:rowOff>57150</xdr:rowOff>
    </xdr:from>
    <xdr:to>
      <xdr:col>2</xdr:col>
      <xdr:colOff>85725</xdr:colOff>
      <xdr:row>3</xdr:row>
      <xdr:rowOff>66675</xdr:rowOff>
    </xdr:to>
    <xdr:pic>
      <xdr:nvPicPr>
        <xdr:cNvPr id="3" name="Picture 5" descr="CDCLOGO-rgb_good">
          <a:hlinkClick r:id="rId4"/>
        </xdr:cNvPr>
        <xdr:cNvPicPr preferRelativeResize="1">
          <a:picLocks noChangeAspect="1"/>
        </xdr:cNvPicPr>
      </xdr:nvPicPr>
      <xdr:blipFill>
        <a:blip r:embed="rId2"/>
        <a:stretch>
          <a:fillRect/>
        </a:stretch>
      </xdr:blipFill>
      <xdr:spPr>
        <a:xfrm>
          <a:off x="57150" y="57150"/>
          <a:ext cx="866775" cy="495300"/>
        </a:xfrm>
        <a:prstGeom prst="rect">
          <a:avLst/>
        </a:prstGeom>
        <a:noFill/>
        <a:ln w="9525" cmpd="sng">
          <a:noFill/>
        </a:ln>
      </xdr:spPr>
    </xdr:pic>
    <xdr:clientData/>
  </xdr:twoCellAnchor>
  <xdr:twoCellAnchor>
    <xdr:from>
      <xdr:col>13</xdr:col>
      <xdr:colOff>190500</xdr:colOff>
      <xdr:row>0</xdr:row>
      <xdr:rowOff>28575</xdr:rowOff>
    </xdr:from>
    <xdr:to>
      <xdr:col>14</xdr:col>
      <xdr:colOff>514350</xdr:colOff>
      <xdr:row>3</xdr:row>
      <xdr:rowOff>104775</xdr:rowOff>
    </xdr:to>
    <xdr:sp>
      <xdr:nvSpPr>
        <xdr:cNvPr id="4" name="Rectangle 29"/>
        <xdr:cNvSpPr>
          <a:spLocks/>
        </xdr:cNvSpPr>
      </xdr:nvSpPr>
      <xdr:spPr>
        <a:xfrm>
          <a:off x="8172450" y="28575"/>
          <a:ext cx="819150" cy="561975"/>
        </a:xfrm>
        <a:prstGeom prst="rect">
          <a:avLst/>
        </a:prstGeom>
        <a:solidFill>
          <a:srgbClr val="FFCC00"/>
        </a:solidFill>
        <a:ln w="19050" cmpd="sng">
          <a:solidFill>
            <a:srgbClr val="000000"/>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latin typeface="Arial"/>
              <a:ea typeface="Arial"/>
              <a:cs typeface="Arial"/>
            </a:rPr>
            <a:t>PAGE 
13 of 14</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4</xdr:row>
      <xdr:rowOff>142875</xdr:rowOff>
    </xdr:from>
    <xdr:to>
      <xdr:col>11</xdr:col>
      <xdr:colOff>485775</xdr:colOff>
      <xdr:row>26</xdr:row>
      <xdr:rowOff>28575</xdr:rowOff>
    </xdr:to>
    <xdr:graphicFrame>
      <xdr:nvGraphicFramePr>
        <xdr:cNvPr id="1" name="Chart 19"/>
        <xdr:cNvGraphicFramePr/>
      </xdr:nvGraphicFramePr>
      <xdr:xfrm>
        <a:off x="552450" y="790575"/>
        <a:ext cx="6886575" cy="3381375"/>
      </xdr:xfrm>
      <a:graphic>
        <a:graphicData uri="http://schemas.openxmlformats.org/drawingml/2006/chart">
          <c:chart xmlns:c="http://schemas.openxmlformats.org/drawingml/2006/chart" r:id="rId1"/>
        </a:graphicData>
      </a:graphic>
    </xdr:graphicFrame>
    <xdr:clientData/>
  </xdr:twoCellAnchor>
  <xdr:twoCellAnchor>
    <xdr:from>
      <xdr:col>1</xdr:col>
      <xdr:colOff>314325</xdr:colOff>
      <xdr:row>27</xdr:row>
      <xdr:rowOff>9525</xdr:rowOff>
    </xdr:from>
    <xdr:to>
      <xdr:col>11</xdr:col>
      <xdr:colOff>485775</xdr:colOff>
      <xdr:row>51</xdr:row>
      <xdr:rowOff>28575</xdr:rowOff>
    </xdr:to>
    <xdr:graphicFrame>
      <xdr:nvGraphicFramePr>
        <xdr:cNvPr id="2" name="Chart 20"/>
        <xdr:cNvGraphicFramePr/>
      </xdr:nvGraphicFramePr>
      <xdr:xfrm>
        <a:off x="542925" y="4314825"/>
        <a:ext cx="6896100" cy="3819525"/>
      </xdr:xfrm>
      <a:graphic>
        <a:graphicData uri="http://schemas.openxmlformats.org/drawingml/2006/chart">
          <c:chart xmlns:c="http://schemas.openxmlformats.org/drawingml/2006/chart" r:id="rId2"/>
        </a:graphicData>
      </a:graphic>
    </xdr:graphicFrame>
    <xdr:clientData/>
  </xdr:twoCellAnchor>
  <xdr:twoCellAnchor>
    <xdr:from>
      <xdr:col>1</xdr:col>
      <xdr:colOff>323850</xdr:colOff>
      <xdr:row>51</xdr:row>
      <xdr:rowOff>142875</xdr:rowOff>
    </xdr:from>
    <xdr:to>
      <xdr:col>11</xdr:col>
      <xdr:colOff>485775</xdr:colOff>
      <xdr:row>74</xdr:row>
      <xdr:rowOff>0</xdr:rowOff>
    </xdr:to>
    <xdr:graphicFrame>
      <xdr:nvGraphicFramePr>
        <xdr:cNvPr id="3" name="Chart 21"/>
        <xdr:cNvGraphicFramePr/>
      </xdr:nvGraphicFramePr>
      <xdr:xfrm>
        <a:off x="552450" y="8248650"/>
        <a:ext cx="6886575" cy="3495675"/>
      </xdr:xfrm>
      <a:graphic>
        <a:graphicData uri="http://schemas.openxmlformats.org/drawingml/2006/chart">
          <c:chart xmlns:c="http://schemas.openxmlformats.org/drawingml/2006/chart" r:id="rId3"/>
        </a:graphicData>
      </a:graphic>
    </xdr:graphicFrame>
    <xdr:clientData/>
  </xdr:twoCellAnchor>
  <xdr:twoCellAnchor>
    <xdr:from>
      <xdr:col>2</xdr:col>
      <xdr:colOff>142875</xdr:colOff>
      <xdr:row>0</xdr:row>
      <xdr:rowOff>104775</xdr:rowOff>
    </xdr:from>
    <xdr:to>
      <xdr:col>3</xdr:col>
      <xdr:colOff>933450</xdr:colOff>
      <xdr:row>3</xdr:row>
      <xdr:rowOff>142875</xdr:rowOff>
    </xdr:to>
    <xdr:sp>
      <xdr:nvSpPr>
        <xdr:cNvPr id="4" name="WordArt 31">
          <a:hlinkClick r:id="rId4"/>
        </xdr:cNvPr>
        <xdr:cNvSpPr>
          <a:spLocks/>
        </xdr:cNvSpPr>
      </xdr:nvSpPr>
      <xdr:spPr>
        <a:xfrm>
          <a:off x="981075" y="104775"/>
          <a:ext cx="1704975" cy="523875"/>
        </a:xfrm>
        <a:prstGeom prst="rect"/>
        <a:noFill/>
      </xdr:spPr>
      <xdr:txBody>
        <a:bodyPr fromWordArt="1" wrap="none" lIns="91440" tIns="45720" rIns="91440" bIns="45720">
          <a:prstTxWarp prst="textPlain"/>
        </a:bodyPr>
        <a:p>
          <a:pPr algn="ctr"/>
          <a:r>
            <a:rPr sz="4000" kern="10" spc="0">
              <a:ln w="9525" cmpd="sng">
                <a:solidFill>
                  <a:srgbClr val="808080"/>
                </a:solidFill>
                <a:headEnd type="none"/>
                <a:tailEnd type="none"/>
              </a:ln>
              <a:gradFill rotWithShape="1">
                <a:gsLst>
                  <a:gs pos="0">
                    <a:srgbClr val="993300"/>
                  </a:gs>
                  <a:gs pos="100000">
                    <a:srgbClr val="FFCC00"/>
                  </a:gs>
                </a:gsLst>
                <a:lin ang="5400000" scaled="1"/>
              </a:gradFill>
              <a:latin typeface="Arial Black"/>
              <a:cs typeface="Arial Black"/>
            </a:rPr>
            <a:t>FLUAID Special Edition</a:t>
          </a:r>
        </a:p>
      </xdr:txBody>
    </xdr:sp>
    <xdr:clientData/>
  </xdr:twoCellAnchor>
  <xdr:twoCellAnchor>
    <xdr:from>
      <xdr:col>0</xdr:col>
      <xdr:colOff>57150</xdr:colOff>
      <xdr:row>0</xdr:row>
      <xdr:rowOff>57150</xdr:rowOff>
    </xdr:from>
    <xdr:to>
      <xdr:col>2</xdr:col>
      <xdr:colOff>85725</xdr:colOff>
      <xdr:row>3</xdr:row>
      <xdr:rowOff>66675</xdr:rowOff>
    </xdr:to>
    <xdr:pic>
      <xdr:nvPicPr>
        <xdr:cNvPr id="5" name="Picture 5" descr="CDCLOGO-rgb_good">
          <a:hlinkClick r:id="rId7"/>
        </xdr:cNvPr>
        <xdr:cNvPicPr preferRelativeResize="1">
          <a:picLocks noChangeAspect="1"/>
        </xdr:cNvPicPr>
      </xdr:nvPicPr>
      <xdr:blipFill>
        <a:blip r:embed="rId5"/>
        <a:stretch>
          <a:fillRect/>
        </a:stretch>
      </xdr:blipFill>
      <xdr:spPr>
        <a:xfrm>
          <a:off x="57150" y="57150"/>
          <a:ext cx="866775" cy="495300"/>
        </a:xfrm>
        <a:prstGeom prst="rect">
          <a:avLst/>
        </a:prstGeom>
        <a:noFill/>
        <a:ln w="9525" cmpd="sng">
          <a:noFill/>
        </a:ln>
      </xdr:spPr>
    </xdr:pic>
    <xdr:clientData/>
  </xdr:twoCellAnchor>
  <xdr:twoCellAnchor>
    <xdr:from>
      <xdr:col>13</xdr:col>
      <xdr:colOff>9525</xdr:colOff>
      <xdr:row>0</xdr:row>
      <xdr:rowOff>28575</xdr:rowOff>
    </xdr:from>
    <xdr:to>
      <xdr:col>14</xdr:col>
      <xdr:colOff>219075</xdr:colOff>
      <xdr:row>3</xdr:row>
      <xdr:rowOff>104775</xdr:rowOff>
    </xdr:to>
    <xdr:sp>
      <xdr:nvSpPr>
        <xdr:cNvPr id="6" name="Rectangle 33"/>
        <xdr:cNvSpPr>
          <a:spLocks/>
        </xdr:cNvSpPr>
      </xdr:nvSpPr>
      <xdr:spPr>
        <a:xfrm>
          <a:off x="8172450" y="28575"/>
          <a:ext cx="819150" cy="561975"/>
        </a:xfrm>
        <a:prstGeom prst="rect">
          <a:avLst/>
        </a:prstGeom>
        <a:solidFill>
          <a:srgbClr val="FFCC00"/>
        </a:solidFill>
        <a:ln w="19050" cmpd="sng">
          <a:solidFill>
            <a:srgbClr val="000000"/>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latin typeface="Arial"/>
              <a:ea typeface="Arial"/>
              <a:cs typeface="Arial"/>
            </a:rPr>
            <a:t>PAGE 
14 of 14</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238125</xdr:colOff>
      <xdr:row>8</xdr:row>
      <xdr:rowOff>123825</xdr:rowOff>
    </xdr:from>
    <xdr:to>
      <xdr:col>40</xdr:col>
      <xdr:colOff>466725</xdr:colOff>
      <xdr:row>30</xdr:row>
      <xdr:rowOff>85725</xdr:rowOff>
    </xdr:to>
    <xdr:graphicFrame>
      <xdr:nvGraphicFramePr>
        <xdr:cNvPr id="1" name="Chart 1"/>
        <xdr:cNvGraphicFramePr/>
      </xdr:nvGraphicFramePr>
      <xdr:xfrm>
        <a:off x="26603325" y="1419225"/>
        <a:ext cx="6324600" cy="3905250"/>
      </xdr:xfrm>
      <a:graphic>
        <a:graphicData uri="http://schemas.openxmlformats.org/drawingml/2006/chart">
          <c:chart xmlns:c="http://schemas.openxmlformats.org/drawingml/2006/chart" r:id="rId1"/>
        </a:graphicData>
      </a:graphic>
    </xdr:graphicFrame>
    <xdr:clientData/>
  </xdr:twoCellAnchor>
  <xdr:twoCellAnchor>
    <xdr:from>
      <xdr:col>30</xdr:col>
      <xdr:colOff>161925</xdr:colOff>
      <xdr:row>34</xdr:row>
      <xdr:rowOff>123825</xdr:rowOff>
    </xdr:from>
    <xdr:to>
      <xdr:col>40</xdr:col>
      <xdr:colOff>419100</xdr:colOff>
      <xdr:row>54</xdr:row>
      <xdr:rowOff>0</xdr:rowOff>
    </xdr:to>
    <xdr:graphicFrame>
      <xdr:nvGraphicFramePr>
        <xdr:cNvPr id="2" name="Chart 2"/>
        <xdr:cNvGraphicFramePr/>
      </xdr:nvGraphicFramePr>
      <xdr:xfrm>
        <a:off x="26527125" y="6057900"/>
        <a:ext cx="6353175" cy="3600450"/>
      </xdr:xfrm>
      <a:graphic>
        <a:graphicData uri="http://schemas.openxmlformats.org/drawingml/2006/chart">
          <c:chart xmlns:c="http://schemas.openxmlformats.org/drawingml/2006/chart" r:id="rId2"/>
        </a:graphicData>
      </a:graphic>
    </xdr:graphicFrame>
    <xdr:clientData/>
  </xdr:twoCellAnchor>
  <xdr:twoCellAnchor>
    <xdr:from>
      <xdr:col>30</xdr:col>
      <xdr:colOff>152400</xdr:colOff>
      <xdr:row>59</xdr:row>
      <xdr:rowOff>9525</xdr:rowOff>
    </xdr:from>
    <xdr:to>
      <xdr:col>40</xdr:col>
      <xdr:colOff>371475</xdr:colOff>
      <xdr:row>72</xdr:row>
      <xdr:rowOff>0</xdr:rowOff>
    </xdr:to>
    <xdr:graphicFrame>
      <xdr:nvGraphicFramePr>
        <xdr:cNvPr id="3" name="Chart 3"/>
        <xdr:cNvGraphicFramePr/>
      </xdr:nvGraphicFramePr>
      <xdr:xfrm>
        <a:off x="26517600" y="10696575"/>
        <a:ext cx="6315075" cy="24003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152400</xdr:rowOff>
    </xdr:from>
    <xdr:to>
      <xdr:col>9</xdr:col>
      <xdr:colOff>0</xdr:colOff>
      <xdr:row>7</xdr:row>
      <xdr:rowOff>152400</xdr:rowOff>
    </xdr:to>
    <xdr:sp>
      <xdr:nvSpPr>
        <xdr:cNvPr id="1" name="Text Box 12"/>
        <xdr:cNvSpPr txBox="1">
          <a:spLocks noChangeArrowheads="1"/>
        </xdr:cNvSpPr>
      </xdr:nvSpPr>
      <xdr:spPr>
        <a:xfrm>
          <a:off x="609600" y="800100"/>
          <a:ext cx="5400675" cy="552450"/>
        </a:xfrm>
        <a:prstGeom prst="rect">
          <a:avLst/>
        </a:prstGeom>
        <a:solidFill>
          <a:srgbClr val="FFCC00"/>
        </a:solidFill>
        <a:ln w="19050" cmpd="sng">
          <a:solidFill>
            <a:srgbClr val="000000"/>
          </a:solidFill>
          <a:headEnd type="none"/>
          <a:tailEnd type="none"/>
        </a:ln>
      </xdr:spPr>
      <xdr:txBody>
        <a:bodyPr vertOverflow="clip" wrap="square" lIns="45720" tIns="41148" rIns="45720" bIns="41148" anchor="ctr"/>
        <a:p>
          <a:pPr algn="ctr">
            <a:defRPr/>
          </a:pPr>
          <a:r>
            <a:rPr lang="en-US" cap="none" sz="2000" b="1" i="0" u="none" baseline="0">
              <a:solidFill>
                <a:srgbClr val="000000"/>
              </a:solidFill>
              <a:latin typeface="Arial"/>
              <a:ea typeface="Arial"/>
              <a:cs typeface="Arial"/>
            </a:rPr>
            <a:t>INSTRUCTIONS</a:t>
          </a:r>
        </a:p>
      </xdr:txBody>
    </xdr:sp>
    <xdr:clientData/>
  </xdr:twoCellAnchor>
  <xdr:twoCellAnchor>
    <xdr:from>
      <xdr:col>1</xdr:col>
      <xdr:colOff>371475</xdr:colOff>
      <xdr:row>0</xdr:row>
      <xdr:rowOff>104775</xdr:rowOff>
    </xdr:from>
    <xdr:to>
      <xdr:col>3</xdr:col>
      <xdr:colOff>590550</xdr:colOff>
      <xdr:row>3</xdr:row>
      <xdr:rowOff>142875</xdr:rowOff>
    </xdr:to>
    <xdr:sp>
      <xdr:nvSpPr>
        <xdr:cNvPr id="2" name="WordArt 13">
          <a:hlinkClick r:id="rId1"/>
        </xdr:cNvPr>
        <xdr:cNvSpPr>
          <a:spLocks/>
        </xdr:cNvSpPr>
      </xdr:nvSpPr>
      <xdr:spPr>
        <a:xfrm>
          <a:off x="981075" y="104775"/>
          <a:ext cx="1704975" cy="523875"/>
        </a:xfrm>
        <a:prstGeom prst="rect"/>
        <a:noFill/>
      </xdr:spPr>
      <xdr:txBody>
        <a:bodyPr fromWordArt="1" wrap="none" lIns="91440" tIns="45720" rIns="91440" bIns="45720">
          <a:prstTxWarp prst="textPlain"/>
        </a:bodyPr>
        <a:p>
          <a:pPr algn="ctr"/>
          <a:r>
            <a:rPr sz="4000" kern="10" spc="0">
              <a:ln w="9525" cmpd="sng">
                <a:solidFill>
                  <a:srgbClr val="808080"/>
                </a:solidFill>
                <a:headEnd type="none"/>
                <a:tailEnd type="none"/>
              </a:ln>
              <a:gradFill rotWithShape="1">
                <a:gsLst>
                  <a:gs pos="0">
                    <a:srgbClr val="993300"/>
                  </a:gs>
                  <a:gs pos="100000">
                    <a:srgbClr val="FFCC00"/>
                  </a:gs>
                </a:gsLst>
                <a:lin ang="5400000" scaled="1"/>
              </a:gradFill>
              <a:latin typeface="Arial Black"/>
              <a:cs typeface="Arial Black"/>
            </a:rPr>
            <a:t>FLUAID Special Edition</a:t>
          </a:r>
        </a:p>
      </xdr:txBody>
    </xdr:sp>
    <xdr:clientData/>
  </xdr:twoCellAnchor>
  <xdr:twoCellAnchor>
    <xdr:from>
      <xdr:col>0</xdr:col>
      <xdr:colOff>57150</xdr:colOff>
      <xdr:row>0</xdr:row>
      <xdr:rowOff>57150</xdr:rowOff>
    </xdr:from>
    <xdr:to>
      <xdr:col>1</xdr:col>
      <xdr:colOff>314325</xdr:colOff>
      <xdr:row>3</xdr:row>
      <xdr:rowOff>66675</xdr:rowOff>
    </xdr:to>
    <xdr:pic>
      <xdr:nvPicPr>
        <xdr:cNvPr id="3" name="Picture 5" descr="CDCLOGO-rgb_good">
          <a:hlinkClick r:id="rId4"/>
        </xdr:cNvPr>
        <xdr:cNvPicPr preferRelativeResize="1">
          <a:picLocks noChangeAspect="1"/>
        </xdr:cNvPicPr>
      </xdr:nvPicPr>
      <xdr:blipFill>
        <a:blip r:embed="rId2"/>
        <a:stretch>
          <a:fillRect/>
        </a:stretch>
      </xdr:blipFill>
      <xdr:spPr>
        <a:xfrm>
          <a:off x="57150" y="57150"/>
          <a:ext cx="866775" cy="495300"/>
        </a:xfrm>
        <a:prstGeom prst="rect">
          <a:avLst/>
        </a:prstGeom>
        <a:noFill/>
        <a:ln w="9525" cmpd="sng">
          <a:noFill/>
        </a:ln>
      </xdr:spPr>
    </xdr:pic>
    <xdr:clientData/>
  </xdr:twoCellAnchor>
  <xdr:twoCellAnchor>
    <xdr:from>
      <xdr:col>12</xdr:col>
      <xdr:colOff>333375</xdr:colOff>
      <xdr:row>0</xdr:row>
      <xdr:rowOff>28575</xdr:rowOff>
    </xdr:from>
    <xdr:to>
      <xdr:col>13</xdr:col>
      <xdr:colOff>542925</xdr:colOff>
      <xdr:row>3</xdr:row>
      <xdr:rowOff>104775</xdr:rowOff>
    </xdr:to>
    <xdr:sp>
      <xdr:nvSpPr>
        <xdr:cNvPr id="4" name="Rectangle 15"/>
        <xdr:cNvSpPr>
          <a:spLocks/>
        </xdr:cNvSpPr>
      </xdr:nvSpPr>
      <xdr:spPr>
        <a:xfrm>
          <a:off x="8172450" y="28575"/>
          <a:ext cx="819150" cy="561975"/>
        </a:xfrm>
        <a:prstGeom prst="rect">
          <a:avLst/>
        </a:prstGeom>
        <a:solidFill>
          <a:srgbClr val="FFCC00"/>
        </a:solidFill>
        <a:ln w="19050" cmpd="sng">
          <a:solidFill>
            <a:srgbClr val="000000"/>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latin typeface="Arial"/>
              <a:ea typeface="Arial"/>
              <a:cs typeface="Arial"/>
            </a:rPr>
            <a:t>PAGE 
2 of 14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371475</xdr:colOff>
      <xdr:row>7</xdr:row>
      <xdr:rowOff>133350</xdr:rowOff>
    </xdr:from>
    <xdr:to>
      <xdr:col>12</xdr:col>
      <xdr:colOff>180975</xdr:colOff>
      <xdr:row>15</xdr:row>
      <xdr:rowOff>19050</xdr:rowOff>
    </xdr:to>
    <xdr:sp>
      <xdr:nvSpPr>
        <xdr:cNvPr id="1" name="Text Box 16"/>
        <xdr:cNvSpPr txBox="1">
          <a:spLocks noChangeArrowheads="1"/>
        </xdr:cNvSpPr>
      </xdr:nvSpPr>
      <xdr:spPr>
        <a:xfrm>
          <a:off x="6991350" y="1333500"/>
          <a:ext cx="1028700" cy="1409700"/>
        </a:xfrm>
        <a:prstGeom prst="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600" b="0" i="0" u="none" baseline="0">
              <a:solidFill>
                <a:srgbClr val="000000"/>
              </a:solidFill>
              <a:latin typeface="Arial"/>
              <a:ea typeface="Arial"/>
              <a:cs typeface="Arial"/>
            </a:rPr>
            <a:t>NOTE: 
</a:t>
          </a:r>
          <a:r>
            <a:rPr lang="en-US" cap="none" sz="1600" b="0" i="0" u="none" baseline="0">
              <a:solidFill>
                <a:srgbClr val="000000"/>
              </a:solidFill>
              <a:latin typeface="Arial"/>
              <a:ea typeface="Arial"/>
              <a:cs typeface="Arial"/>
            </a:rPr>
            <a:t>State selection is required.</a:t>
          </a:r>
        </a:p>
      </xdr:txBody>
    </xdr:sp>
    <xdr:clientData/>
  </xdr:twoCellAnchor>
  <xdr:twoCellAnchor>
    <xdr:from>
      <xdr:col>1</xdr:col>
      <xdr:colOff>866775</xdr:colOff>
      <xdr:row>4</xdr:row>
      <xdr:rowOff>57150</xdr:rowOff>
    </xdr:from>
    <xdr:to>
      <xdr:col>9</xdr:col>
      <xdr:colOff>561975</xdr:colOff>
      <xdr:row>7</xdr:row>
      <xdr:rowOff>123825</xdr:rowOff>
    </xdr:to>
    <xdr:sp>
      <xdr:nvSpPr>
        <xdr:cNvPr id="2" name="Text Box 29"/>
        <xdr:cNvSpPr txBox="1">
          <a:spLocks noChangeArrowheads="1"/>
        </xdr:cNvSpPr>
      </xdr:nvSpPr>
      <xdr:spPr>
        <a:xfrm>
          <a:off x="1476375" y="704850"/>
          <a:ext cx="5095875" cy="619125"/>
        </a:xfrm>
        <a:prstGeom prst="rect">
          <a:avLst/>
        </a:prstGeom>
        <a:solidFill>
          <a:srgbClr val="FFCC00"/>
        </a:solidFill>
        <a:ln w="19050" cmpd="sng">
          <a:solidFill>
            <a:srgbClr val="000000"/>
          </a:solidFill>
          <a:headEnd type="none"/>
          <a:tailEnd type="none"/>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BACKGROUND INFORMATION</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DATA BELOW</a:t>
          </a:r>
        </a:p>
      </xdr:txBody>
    </xdr:sp>
    <xdr:clientData/>
  </xdr:twoCellAnchor>
  <xdr:twoCellAnchor>
    <xdr:from>
      <xdr:col>1</xdr:col>
      <xdr:colOff>371475</xdr:colOff>
      <xdr:row>0</xdr:row>
      <xdr:rowOff>104775</xdr:rowOff>
    </xdr:from>
    <xdr:to>
      <xdr:col>3</xdr:col>
      <xdr:colOff>590550</xdr:colOff>
      <xdr:row>3</xdr:row>
      <xdr:rowOff>142875</xdr:rowOff>
    </xdr:to>
    <xdr:sp>
      <xdr:nvSpPr>
        <xdr:cNvPr id="3" name="WordArt 35">
          <a:hlinkClick r:id="rId1"/>
        </xdr:cNvPr>
        <xdr:cNvSpPr>
          <a:spLocks/>
        </xdr:cNvSpPr>
      </xdr:nvSpPr>
      <xdr:spPr>
        <a:xfrm>
          <a:off x="981075" y="104775"/>
          <a:ext cx="1704975" cy="523875"/>
        </a:xfrm>
        <a:prstGeom prst="rect"/>
        <a:noFill/>
      </xdr:spPr>
      <xdr:txBody>
        <a:bodyPr fromWordArt="1" wrap="none" lIns="91440" tIns="45720" rIns="91440" bIns="45720">
          <a:prstTxWarp prst="textPlain"/>
        </a:bodyPr>
        <a:p>
          <a:pPr algn="ctr"/>
          <a:r>
            <a:rPr sz="4000" kern="10" spc="0">
              <a:ln w="9525" cmpd="sng">
                <a:solidFill>
                  <a:srgbClr val="808080"/>
                </a:solidFill>
                <a:headEnd type="none"/>
                <a:tailEnd type="none"/>
              </a:ln>
              <a:gradFill rotWithShape="1">
                <a:gsLst>
                  <a:gs pos="0">
                    <a:srgbClr val="993300"/>
                  </a:gs>
                  <a:gs pos="100000">
                    <a:srgbClr val="FFCC00"/>
                  </a:gs>
                </a:gsLst>
                <a:lin ang="5400000" scaled="1"/>
              </a:gradFill>
              <a:latin typeface="Arial Black"/>
              <a:cs typeface="Arial Black"/>
            </a:rPr>
            <a:t>FLUAID Special Edition</a:t>
          </a:r>
        </a:p>
      </xdr:txBody>
    </xdr:sp>
    <xdr:clientData/>
  </xdr:twoCellAnchor>
  <xdr:twoCellAnchor>
    <xdr:from>
      <xdr:col>0</xdr:col>
      <xdr:colOff>57150</xdr:colOff>
      <xdr:row>0</xdr:row>
      <xdr:rowOff>57150</xdr:rowOff>
    </xdr:from>
    <xdr:to>
      <xdr:col>1</xdr:col>
      <xdr:colOff>314325</xdr:colOff>
      <xdr:row>3</xdr:row>
      <xdr:rowOff>66675</xdr:rowOff>
    </xdr:to>
    <xdr:pic>
      <xdr:nvPicPr>
        <xdr:cNvPr id="4" name="Picture 5" descr="CDCLOGO-rgb_good">
          <a:hlinkClick r:id="rId4"/>
        </xdr:cNvPr>
        <xdr:cNvPicPr preferRelativeResize="1">
          <a:picLocks noChangeAspect="1"/>
        </xdr:cNvPicPr>
      </xdr:nvPicPr>
      <xdr:blipFill>
        <a:blip r:embed="rId2"/>
        <a:stretch>
          <a:fillRect/>
        </a:stretch>
      </xdr:blipFill>
      <xdr:spPr>
        <a:xfrm>
          <a:off x="57150" y="57150"/>
          <a:ext cx="866775" cy="495300"/>
        </a:xfrm>
        <a:prstGeom prst="rect">
          <a:avLst/>
        </a:prstGeom>
        <a:noFill/>
        <a:ln w="9525" cmpd="sng">
          <a:noFill/>
        </a:ln>
      </xdr:spPr>
    </xdr:pic>
    <xdr:clientData/>
  </xdr:twoCellAnchor>
  <xdr:twoCellAnchor>
    <xdr:from>
      <xdr:col>12</xdr:col>
      <xdr:colOff>333375</xdr:colOff>
      <xdr:row>0</xdr:row>
      <xdr:rowOff>28575</xdr:rowOff>
    </xdr:from>
    <xdr:to>
      <xdr:col>13</xdr:col>
      <xdr:colOff>542925</xdr:colOff>
      <xdr:row>3</xdr:row>
      <xdr:rowOff>104775</xdr:rowOff>
    </xdr:to>
    <xdr:sp>
      <xdr:nvSpPr>
        <xdr:cNvPr id="5" name="Rectangle 37"/>
        <xdr:cNvSpPr>
          <a:spLocks/>
        </xdr:cNvSpPr>
      </xdr:nvSpPr>
      <xdr:spPr>
        <a:xfrm>
          <a:off x="8172450" y="28575"/>
          <a:ext cx="819150" cy="561975"/>
        </a:xfrm>
        <a:prstGeom prst="rect">
          <a:avLst/>
        </a:prstGeom>
        <a:solidFill>
          <a:srgbClr val="FFCC00"/>
        </a:solidFill>
        <a:ln w="19050" cmpd="sng">
          <a:solidFill>
            <a:srgbClr val="000000"/>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latin typeface="Arial"/>
              <a:ea typeface="Arial"/>
              <a:cs typeface="Arial"/>
            </a:rPr>
            <a:t>PAGE 
3 of 14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10</xdr:row>
      <xdr:rowOff>47625</xdr:rowOff>
    </xdr:from>
    <xdr:to>
      <xdr:col>9</xdr:col>
      <xdr:colOff>428625</xdr:colOff>
      <xdr:row>20</xdr:row>
      <xdr:rowOff>28575</xdr:rowOff>
    </xdr:to>
    <xdr:sp>
      <xdr:nvSpPr>
        <xdr:cNvPr id="1" name="Text Box 16"/>
        <xdr:cNvSpPr txBox="1">
          <a:spLocks noChangeArrowheads="1"/>
        </xdr:cNvSpPr>
      </xdr:nvSpPr>
      <xdr:spPr>
        <a:xfrm>
          <a:off x="4638675" y="1933575"/>
          <a:ext cx="2466975" cy="1885950"/>
        </a:xfrm>
        <a:prstGeom prst="rect">
          <a:avLst/>
        </a:prstGeom>
        <a:solidFill>
          <a:srgbClr val="FFFFFF"/>
        </a:solidFill>
        <a:ln w="19050" cmpd="sng">
          <a:solidFill>
            <a:srgbClr val="000000"/>
          </a:solidFill>
          <a:headEnd type="none"/>
          <a:tailEnd type="none"/>
        </a:ln>
      </xdr:spPr>
      <xdr:txBody>
        <a:bodyPr vertOverflow="clip" wrap="square" lIns="36576" tIns="32004" rIns="36576" bIns="0"/>
        <a:p>
          <a:pPr algn="ctr">
            <a:defRPr/>
          </a:pPr>
          <a:r>
            <a:rPr lang="en-US" cap="none" sz="1600" b="0" i="0" u="none" baseline="0">
              <a:solidFill>
                <a:srgbClr val="000000"/>
              </a:solidFill>
              <a:latin typeface="Arial"/>
              <a:ea typeface="Arial"/>
              <a:cs typeface="Arial"/>
            </a:rPr>
            <a:t>NOTE: 
</a:t>
          </a:r>
          <a:r>
            <a:rPr lang="en-US" cap="none" sz="1600" b="0" i="0" u="none" baseline="0">
              <a:solidFill>
                <a:srgbClr val="000000"/>
              </a:solidFill>
              <a:latin typeface="Arial"/>
              <a:ea typeface="Arial"/>
              <a:cs typeface="Arial"/>
            </a:rPr>
            <a:t>Default values are based on 2008 State and Territory Population Estimates.</a:t>
          </a:r>
        </a:p>
      </xdr:txBody>
    </xdr:sp>
    <xdr:clientData/>
  </xdr:twoCellAnchor>
  <xdr:twoCellAnchor>
    <xdr:from>
      <xdr:col>1</xdr:col>
      <xdr:colOff>0</xdr:colOff>
      <xdr:row>17</xdr:row>
      <xdr:rowOff>152400</xdr:rowOff>
    </xdr:from>
    <xdr:to>
      <xdr:col>5</xdr:col>
      <xdr:colOff>152400</xdr:colOff>
      <xdr:row>17</xdr:row>
      <xdr:rowOff>152400</xdr:rowOff>
    </xdr:to>
    <xdr:sp>
      <xdr:nvSpPr>
        <xdr:cNvPr id="2" name="Line 20"/>
        <xdr:cNvSpPr>
          <a:spLocks/>
        </xdr:cNvSpPr>
      </xdr:nvSpPr>
      <xdr:spPr>
        <a:xfrm flipV="1">
          <a:off x="609600" y="3381375"/>
          <a:ext cx="378142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38</xdr:col>
      <xdr:colOff>0</xdr:colOff>
      <xdr:row>17</xdr:row>
      <xdr:rowOff>152400</xdr:rowOff>
    </xdr:from>
    <xdr:to>
      <xdr:col>42</xdr:col>
      <xdr:colOff>152400</xdr:colOff>
      <xdr:row>17</xdr:row>
      <xdr:rowOff>152400</xdr:rowOff>
    </xdr:to>
    <xdr:sp>
      <xdr:nvSpPr>
        <xdr:cNvPr id="3" name="Line 21"/>
        <xdr:cNvSpPr>
          <a:spLocks/>
        </xdr:cNvSpPr>
      </xdr:nvSpPr>
      <xdr:spPr>
        <a:xfrm flipV="1">
          <a:off x="24355425" y="3381375"/>
          <a:ext cx="25908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133350</xdr:colOff>
      <xdr:row>5</xdr:row>
      <xdr:rowOff>38100</xdr:rowOff>
    </xdr:from>
    <xdr:to>
      <xdr:col>5</xdr:col>
      <xdr:colOff>333375</xdr:colOff>
      <xdr:row>9</xdr:row>
      <xdr:rowOff>0</xdr:rowOff>
    </xdr:to>
    <xdr:sp>
      <xdr:nvSpPr>
        <xdr:cNvPr id="4" name="Text Box 34"/>
        <xdr:cNvSpPr txBox="1">
          <a:spLocks noChangeArrowheads="1"/>
        </xdr:cNvSpPr>
      </xdr:nvSpPr>
      <xdr:spPr>
        <a:xfrm>
          <a:off x="742950" y="942975"/>
          <a:ext cx="3829050" cy="647700"/>
        </a:xfrm>
        <a:prstGeom prst="rect">
          <a:avLst/>
        </a:prstGeom>
        <a:solidFill>
          <a:srgbClr val="FFCC00"/>
        </a:solidFill>
        <a:ln w="19050"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Arial"/>
              <a:ea typeface="Arial"/>
              <a:cs typeface="Arial"/>
            </a:rPr>
            <a:t>POPULATION BY AGE GROUP</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DATA BELOW</a:t>
          </a:r>
        </a:p>
      </xdr:txBody>
    </xdr:sp>
    <xdr:clientData/>
  </xdr:twoCellAnchor>
  <xdr:twoCellAnchor>
    <xdr:from>
      <xdr:col>1</xdr:col>
      <xdr:colOff>371475</xdr:colOff>
      <xdr:row>0</xdr:row>
      <xdr:rowOff>104775</xdr:rowOff>
    </xdr:from>
    <xdr:to>
      <xdr:col>3</xdr:col>
      <xdr:colOff>171450</xdr:colOff>
      <xdr:row>3</xdr:row>
      <xdr:rowOff>142875</xdr:rowOff>
    </xdr:to>
    <xdr:sp>
      <xdr:nvSpPr>
        <xdr:cNvPr id="5" name="WordArt 39">
          <a:hlinkClick r:id="rId1"/>
        </xdr:cNvPr>
        <xdr:cNvSpPr>
          <a:spLocks/>
        </xdr:cNvSpPr>
      </xdr:nvSpPr>
      <xdr:spPr>
        <a:xfrm>
          <a:off x="981075" y="104775"/>
          <a:ext cx="1704975" cy="523875"/>
        </a:xfrm>
        <a:prstGeom prst="rect"/>
        <a:noFill/>
      </xdr:spPr>
      <xdr:txBody>
        <a:bodyPr fromWordArt="1" wrap="none" lIns="91440" tIns="45720" rIns="91440" bIns="45720">
          <a:prstTxWarp prst="textPlain"/>
        </a:bodyPr>
        <a:p>
          <a:pPr algn="ctr"/>
          <a:r>
            <a:rPr sz="4000" kern="10" spc="0">
              <a:ln w="9525" cmpd="sng">
                <a:solidFill>
                  <a:srgbClr val="808080"/>
                </a:solidFill>
                <a:headEnd type="none"/>
                <a:tailEnd type="none"/>
              </a:ln>
              <a:gradFill rotWithShape="1">
                <a:gsLst>
                  <a:gs pos="0">
                    <a:srgbClr val="993300"/>
                  </a:gs>
                  <a:gs pos="100000">
                    <a:srgbClr val="FFCC00"/>
                  </a:gs>
                </a:gsLst>
                <a:lin ang="5400000" scaled="1"/>
              </a:gradFill>
              <a:latin typeface="Arial Black"/>
              <a:cs typeface="Arial Black"/>
            </a:rPr>
            <a:t>FLUAID Special Edition</a:t>
          </a:r>
        </a:p>
      </xdr:txBody>
    </xdr:sp>
    <xdr:clientData/>
  </xdr:twoCellAnchor>
  <xdr:twoCellAnchor>
    <xdr:from>
      <xdr:col>0</xdr:col>
      <xdr:colOff>57150</xdr:colOff>
      <xdr:row>0</xdr:row>
      <xdr:rowOff>57150</xdr:rowOff>
    </xdr:from>
    <xdr:to>
      <xdr:col>1</xdr:col>
      <xdr:colOff>314325</xdr:colOff>
      <xdr:row>3</xdr:row>
      <xdr:rowOff>66675</xdr:rowOff>
    </xdr:to>
    <xdr:pic>
      <xdr:nvPicPr>
        <xdr:cNvPr id="6" name="Picture 5" descr="CDCLOGO-rgb_good">
          <a:hlinkClick r:id="rId4"/>
        </xdr:cNvPr>
        <xdr:cNvPicPr preferRelativeResize="1">
          <a:picLocks noChangeAspect="1"/>
        </xdr:cNvPicPr>
      </xdr:nvPicPr>
      <xdr:blipFill>
        <a:blip r:embed="rId2"/>
        <a:stretch>
          <a:fillRect/>
        </a:stretch>
      </xdr:blipFill>
      <xdr:spPr>
        <a:xfrm>
          <a:off x="57150" y="57150"/>
          <a:ext cx="866775" cy="495300"/>
        </a:xfrm>
        <a:prstGeom prst="rect">
          <a:avLst/>
        </a:prstGeom>
        <a:noFill/>
        <a:ln w="9525" cmpd="sng">
          <a:noFill/>
        </a:ln>
      </xdr:spPr>
    </xdr:pic>
    <xdr:clientData/>
  </xdr:twoCellAnchor>
  <xdr:twoCellAnchor>
    <xdr:from>
      <xdr:col>11</xdr:col>
      <xdr:colOff>276225</xdr:colOff>
      <xdr:row>0</xdr:row>
      <xdr:rowOff>28575</xdr:rowOff>
    </xdr:from>
    <xdr:to>
      <xdr:col>12</xdr:col>
      <xdr:colOff>485775</xdr:colOff>
      <xdr:row>3</xdr:row>
      <xdr:rowOff>104775</xdr:rowOff>
    </xdr:to>
    <xdr:sp>
      <xdr:nvSpPr>
        <xdr:cNvPr id="7" name="Rectangle 41"/>
        <xdr:cNvSpPr>
          <a:spLocks/>
        </xdr:cNvSpPr>
      </xdr:nvSpPr>
      <xdr:spPr>
        <a:xfrm>
          <a:off x="8172450" y="28575"/>
          <a:ext cx="819150" cy="561975"/>
        </a:xfrm>
        <a:prstGeom prst="rect">
          <a:avLst/>
        </a:prstGeom>
        <a:solidFill>
          <a:srgbClr val="FFCC00"/>
        </a:solidFill>
        <a:ln w="19050" cmpd="sng">
          <a:solidFill>
            <a:srgbClr val="000000"/>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latin typeface="Arial"/>
              <a:ea typeface="Arial"/>
              <a:cs typeface="Arial"/>
            </a:rPr>
            <a:t>PAGE 
4 of 14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10</xdr:row>
      <xdr:rowOff>47625</xdr:rowOff>
    </xdr:from>
    <xdr:to>
      <xdr:col>8</xdr:col>
      <xdr:colOff>590550</xdr:colOff>
      <xdr:row>16</xdr:row>
      <xdr:rowOff>371475</xdr:rowOff>
    </xdr:to>
    <xdr:sp>
      <xdr:nvSpPr>
        <xdr:cNvPr id="1" name="Text Box 12"/>
        <xdr:cNvSpPr txBox="1">
          <a:spLocks noChangeArrowheads="1"/>
        </xdr:cNvSpPr>
      </xdr:nvSpPr>
      <xdr:spPr>
        <a:xfrm>
          <a:off x="3000375" y="1743075"/>
          <a:ext cx="2781300" cy="1390650"/>
        </a:xfrm>
        <a:prstGeom prst="rect">
          <a:avLst/>
        </a:prstGeom>
        <a:solidFill>
          <a:srgbClr val="FFFFFF"/>
        </a:solidFill>
        <a:ln w="19050" cmpd="sng">
          <a:solidFill>
            <a:srgbClr val="000000"/>
          </a:solidFill>
          <a:headEnd type="none"/>
          <a:tailEnd type="none"/>
        </a:ln>
      </xdr:spPr>
      <xdr:txBody>
        <a:bodyPr vertOverflow="clip" wrap="square" lIns="36576" tIns="27432" rIns="36576" bIns="0"/>
        <a:p>
          <a:pPr algn="ctr">
            <a:defRPr/>
          </a:pPr>
          <a:r>
            <a:rPr lang="en-US" cap="none" sz="1300" b="0" i="0" u="none" baseline="0">
              <a:solidFill>
                <a:srgbClr val="000000"/>
              </a:solidFill>
              <a:latin typeface="Arial"/>
              <a:ea typeface="Arial"/>
              <a:cs typeface="Arial"/>
            </a:rPr>
            <a:t>NOTE: 
</a:t>
          </a:r>
          <a:r>
            <a:rPr lang="en-US" cap="none" sz="1300" b="0" i="0" u="none" baseline="0">
              <a:solidFill>
                <a:srgbClr val="000000"/>
              </a:solidFill>
              <a:latin typeface="Arial"/>
              <a:ea typeface="Arial"/>
              <a:cs typeface="Arial"/>
            </a:rPr>
            <a:t>Default values are calculated from the Estimates of Populations and High-risk Conditions for Influenza Vaccination based on 2007 National Health Interview Survey (NHIS 2007) </a:t>
          </a:r>
        </a:p>
      </xdr:txBody>
    </xdr:sp>
    <xdr:clientData/>
  </xdr:twoCellAnchor>
  <xdr:twoCellAnchor>
    <xdr:from>
      <xdr:col>0</xdr:col>
      <xdr:colOff>276225</xdr:colOff>
      <xdr:row>5</xdr:row>
      <xdr:rowOff>85725</xdr:rowOff>
    </xdr:from>
    <xdr:to>
      <xdr:col>4</xdr:col>
      <xdr:colOff>76200</xdr:colOff>
      <xdr:row>9</xdr:row>
      <xdr:rowOff>95250</xdr:rowOff>
    </xdr:to>
    <xdr:sp>
      <xdr:nvSpPr>
        <xdr:cNvPr id="2" name="Text Box 26"/>
        <xdr:cNvSpPr txBox="1">
          <a:spLocks noChangeArrowheads="1"/>
        </xdr:cNvSpPr>
      </xdr:nvSpPr>
      <xdr:spPr>
        <a:xfrm>
          <a:off x="276225" y="895350"/>
          <a:ext cx="2543175" cy="723900"/>
        </a:xfrm>
        <a:prstGeom prst="rect">
          <a:avLst/>
        </a:prstGeom>
        <a:solidFill>
          <a:srgbClr val="FFCC00"/>
        </a:solidFill>
        <a:ln w="19050" cmpd="sng">
          <a:solidFill>
            <a:srgbClr val="000000"/>
          </a:solidFill>
          <a:headEnd type="none"/>
          <a:tailEnd type="none"/>
        </a:ln>
      </xdr:spPr>
      <xdr:txBody>
        <a:bodyPr vertOverflow="clip" wrap="square" lIns="36576" tIns="32004" rIns="36576" bIns="0"/>
        <a:p>
          <a:pPr algn="ctr">
            <a:defRPr/>
          </a:pPr>
          <a:r>
            <a:rPr lang="en-US" cap="none" sz="1500" b="1" i="0" u="none" baseline="0">
              <a:solidFill>
                <a:srgbClr val="000000"/>
              </a:solidFill>
              <a:latin typeface="Arial"/>
              <a:ea typeface="Arial"/>
              <a:cs typeface="Arial"/>
            </a:rPr>
            <a:t>PERCENT HIGH RISK BY AGE GROUP</a:t>
          </a:r>
          <a:r>
            <a:rPr lang="en-US" cap="none" sz="1200" b="1" i="0" u="none" baseline="0">
              <a:solidFill>
                <a:srgbClr val="000000"/>
              </a:solidFill>
              <a:latin typeface="Arial"/>
              <a:ea typeface="Arial"/>
              <a:cs typeface="Arial"/>
            </a:rPr>
            <a:t>
ENTER YOUR DATA BELOW</a:t>
          </a:r>
        </a:p>
      </xdr:txBody>
    </xdr:sp>
    <xdr:clientData/>
  </xdr:twoCellAnchor>
  <xdr:twoCellAnchor>
    <xdr:from>
      <xdr:col>1</xdr:col>
      <xdr:colOff>361950</xdr:colOff>
      <xdr:row>0</xdr:row>
      <xdr:rowOff>104775</xdr:rowOff>
    </xdr:from>
    <xdr:to>
      <xdr:col>3</xdr:col>
      <xdr:colOff>561975</xdr:colOff>
      <xdr:row>3</xdr:row>
      <xdr:rowOff>142875</xdr:rowOff>
    </xdr:to>
    <xdr:sp>
      <xdr:nvSpPr>
        <xdr:cNvPr id="3" name="WordArt 31">
          <a:hlinkClick r:id="rId1"/>
        </xdr:cNvPr>
        <xdr:cNvSpPr>
          <a:spLocks/>
        </xdr:cNvSpPr>
      </xdr:nvSpPr>
      <xdr:spPr>
        <a:xfrm>
          <a:off x="971550" y="104775"/>
          <a:ext cx="1704975" cy="523875"/>
        </a:xfrm>
        <a:prstGeom prst="rect"/>
        <a:noFill/>
      </xdr:spPr>
      <xdr:txBody>
        <a:bodyPr fromWordArt="1" wrap="none" lIns="91440" tIns="45720" rIns="91440" bIns="45720">
          <a:prstTxWarp prst="textPlain"/>
        </a:bodyPr>
        <a:p>
          <a:pPr algn="ctr"/>
          <a:r>
            <a:rPr sz="4000" kern="10" spc="0">
              <a:ln w="9525" cmpd="sng">
                <a:solidFill>
                  <a:srgbClr val="808080"/>
                </a:solidFill>
                <a:headEnd type="none"/>
                <a:tailEnd type="none"/>
              </a:ln>
              <a:gradFill rotWithShape="1">
                <a:gsLst>
                  <a:gs pos="0">
                    <a:srgbClr val="993300"/>
                  </a:gs>
                  <a:gs pos="100000">
                    <a:srgbClr val="FFCC00"/>
                  </a:gs>
                </a:gsLst>
                <a:lin ang="5400000" scaled="1"/>
              </a:gradFill>
              <a:latin typeface="Arial Black"/>
              <a:cs typeface="Arial Black"/>
            </a:rPr>
            <a:t>FLUAID Special Edition</a:t>
          </a:r>
        </a:p>
      </xdr:txBody>
    </xdr:sp>
    <xdr:clientData/>
  </xdr:twoCellAnchor>
  <xdr:twoCellAnchor>
    <xdr:from>
      <xdr:col>0</xdr:col>
      <xdr:colOff>57150</xdr:colOff>
      <xdr:row>0</xdr:row>
      <xdr:rowOff>57150</xdr:rowOff>
    </xdr:from>
    <xdr:to>
      <xdr:col>1</xdr:col>
      <xdr:colOff>314325</xdr:colOff>
      <xdr:row>3</xdr:row>
      <xdr:rowOff>66675</xdr:rowOff>
    </xdr:to>
    <xdr:pic>
      <xdr:nvPicPr>
        <xdr:cNvPr id="4" name="Picture 5" descr="CDCLOGO-rgb_good">
          <a:hlinkClick r:id="rId4"/>
        </xdr:cNvPr>
        <xdr:cNvPicPr preferRelativeResize="1">
          <a:picLocks noChangeAspect="1"/>
        </xdr:cNvPicPr>
      </xdr:nvPicPr>
      <xdr:blipFill>
        <a:blip r:embed="rId2"/>
        <a:stretch>
          <a:fillRect/>
        </a:stretch>
      </xdr:blipFill>
      <xdr:spPr>
        <a:xfrm>
          <a:off x="57150" y="57150"/>
          <a:ext cx="866775" cy="495300"/>
        </a:xfrm>
        <a:prstGeom prst="rect">
          <a:avLst/>
        </a:prstGeom>
        <a:noFill/>
        <a:ln w="9525" cmpd="sng">
          <a:noFill/>
        </a:ln>
      </xdr:spPr>
    </xdr:pic>
    <xdr:clientData/>
  </xdr:twoCellAnchor>
  <xdr:twoCellAnchor>
    <xdr:from>
      <xdr:col>12</xdr:col>
      <xdr:colOff>542925</xdr:colOff>
      <xdr:row>0</xdr:row>
      <xdr:rowOff>28575</xdr:rowOff>
    </xdr:from>
    <xdr:to>
      <xdr:col>14</xdr:col>
      <xdr:colOff>142875</xdr:colOff>
      <xdr:row>3</xdr:row>
      <xdr:rowOff>104775</xdr:rowOff>
    </xdr:to>
    <xdr:sp>
      <xdr:nvSpPr>
        <xdr:cNvPr id="5" name="Rectangle 33"/>
        <xdr:cNvSpPr>
          <a:spLocks/>
        </xdr:cNvSpPr>
      </xdr:nvSpPr>
      <xdr:spPr>
        <a:xfrm>
          <a:off x="8172450" y="28575"/>
          <a:ext cx="819150" cy="561975"/>
        </a:xfrm>
        <a:prstGeom prst="rect">
          <a:avLst/>
        </a:prstGeom>
        <a:solidFill>
          <a:srgbClr val="FFCC00"/>
        </a:solidFill>
        <a:ln w="19050" cmpd="sng">
          <a:solidFill>
            <a:srgbClr val="000000"/>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latin typeface="Arial"/>
              <a:ea typeface="Arial"/>
              <a:cs typeface="Arial"/>
            </a:rPr>
            <a:t>PAGE 
5 of 14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xdr:row>
      <xdr:rowOff>38100</xdr:rowOff>
    </xdr:from>
    <xdr:to>
      <xdr:col>7</xdr:col>
      <xdr:colOff>171450</xdr:colOff>
      <xdr:row>7</xdr:row>
      <xdr:rowOff>161925</xdr:rowOff>
    </xdr:to>
    <xdr:sp>
      <xdr:nvSpPr>
        <xdr:cNvPr id="1" name="Text Box 15"/>
        <xdr:cNvSpPr txBox="1">
          <a:spLocks noChangeArrowheads="1"/>
        </xdr:cNvSpPr>
      </xdr:nvSpPr>
      <xdr:spPr>
        <a:xfrm>
          <a:off x="257175" y="685800"/>
          <a:ext cx="3714750" cy="714375"/>
        </a:xfrm>
        <a:prstGeom prst="rect">
          <a:avLst/>
        </a:prstGeom>
        <a:solidFill>
          <a:srgbClr val="FFCC00"/>
        </a:solidFill>
        <a:ln w="19050"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000000"/>
              </a:solidFill>
              <a:latin typeface="Arial"/>
              <a:ea typeface="Arial"/>
              <a:cs typeface="Arial"/>
            </a:rPr>
            <a:t>PERCENT OUTPATIENTS </a:t>
          </a:r>
          <a:r>
            <a:rPr lang="en-US" cap="none" sz="1200" b="1" i="0" u="none" baseline="0">
              <a:solidFill>
                <a:srgbClr val="000000"/>
              </a:solidFill>
              <a:latin typeface="Arial"/>
              <a:ea typeface="Arial"/>
              <a:cs typeface="Arial"/>
            </a:rPr>
            <a:t>
(outpatients/case):
ENTER YOUR DATA BELOW</a:t>
          </a:r>
        </a:p>
      </xdr:txBody>
    </xdr:sp>
    <xdr:clientData/>
  </xdr:twoCellAnchor>
  <xdr:twoCellAnchor>
    <xdr:from>
      <xdr:col>7</xdr:col>
      <xdr:colOff>228600</xdr:colOff>
      <xdr:row>9</xdr:row>
      <xdr:rowOff>9525</xdr:rowOff>
    </xdr:from>
    <xdr:to>
      <xdr:col>16</xdr:col>
      <xdr:colOff>542925</xdr:colOff>
      <xdr:row>19</xdr:row>
      <xdr:rowOff>0</xdr:rowOff>
    </xdr:to>
    <xdr:sp>
      <xdr:nvSpPr>
        <xdr:cNvPr id="2" name="Text Box 19"/>
        <xdr:cNvSpPr txBox="1">
          <a:spLocks noChangeArrowheads="1"/>
        </xdr:cNvSpPr>
      </xdr:nvSpPr>
      <xdr:spPr>
        <a:xfrm>
          <a:off x="4029075" y="1600200"/>
          <a:ext cx="4962525" cy="1581150"/>
        </a:xfrm>
        <a:prstGeom prst="rect">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NOTE: 
As reported in Reed et al. (2009) CDC,   42% - 58% of non-hospitalized patients report an ambulatory visit to a physicians office or equivalent (i.e., out patient visit). Reed et al., however, were unable to determine any difference in rates by age-and-risk groups.
We therefore used, as default values for percentages of those clinically ill who seek outpatient care, the rates set by Meltzer et al (Emerg. Infect. Dis, 1999:5:659-672, Appendix II; Table 3 - http://www.cdc.gov/ncidod/eid/vol5no5/melt_back.htm)
</a:t>
          </a:r>
        </a:p>
      </xdr:txBody>
    </xdr:sp>
    <xdr:clientData/>
  </xdr:twoCellAnchor>
  <xdr:twoCellAnchor>
    <xdr:from>
      <xdr:col>0</xdr:col>
      <xdr:colOff>981075</xdr:colOff>
      <xdr:row>0</xdr:row>
      <xdr:rowOff>104775</xdr:rowOff>
    </xdr:from>
    <xdr:to>
      <xdr:col>4</xdr:col>
      <xdr:colOff>142875</xdr:colOff>
      <xdr:row>3</xdr:row>
      <xdr:rowOff>142875</xdr:rowOff>
    </xdr:to>
    <xdr:sp>
      <xdr:nvSpPr>
        <xdr:cNvPr id="3" name="WordArt 22">
          <a:hlinkClick r:id="rId1"/>
        </xdr:cNvPr>
        <xdr:cNvSpPr>
          <a:spLocks/>
        </xdr:cNvSpPr>
      </xdr:nvSpPr>
      <xdr:spPr>
        <a:xfrm>
          <a:off x="981075" y="104775"/>
          <a:ext cx="1704975" cy="523875"/>
        </a:xfrm>
        <a:prstGeom prst="rect"/>
        <a:noFill/>
      </xdr:spPr>
      <xdr:txBody>
        <a:bodyPr fromWordArt="1" wrap="none" lIns="91440" tIns="45720" rIns="91440" bIns="45720">
          <a:prstTxWarp prst="textPlain"/>
        </a:bodyPr>
        <a:p>
          <a:pPr algn="ctr"/>
          <a:r>
            <a:rPr sz="4000" kern="10" spc="0">
              <a:ln w="9525" cmpd="sng">
                <a:solidFill>
                  <a:srgbClr val="808080"/>
                </a:solidFill>
                <a:headEnd type="none"/>
                <a:tailEnd type="none"/>
              </a:ln>
              <a:gradFill rotWithShape="1">
                <a:gsLst>
                  <a:gs pos="0">
                    <a:srgbClr val="993300"/>
                  </a:gs>
                  <a:gs pos="100000">
                    <a:srgbClr val="FFCC00"/>
                  </a:gs>
                </a:gsLst>
                <a:lin ang="5400000" scaled="1"/>
              </a:gradFill>
              <a:latin typeface="Arial Black"/>
              <a:cs typeface="Arial Black"/>
            </a:rPr>
            <a:t>FLUAID Special Edition</a:t>
          </a:r>
        </a:p>
      </xdr:txBody>
    </xdr:sp>
    <xdr:clientData/>
  </xdr:twoCellAnchor>
  <xdr:twoCellAnchor>
    <xdr:from>
      <xdr:col>0</xdr:col>
      <xdr:colOff>57150</xdr:colOff>
      <xdr:row>0</xdr:row>
      <xdr:rowOff>57150</xdr:rowOff>
    </xdr:from>
    <xdr:to>
      <xdr:col>0</xdr:col>
      <xdr:colOff>923925</xdr:colOff>
      <xdr:row>3</xdr:row>
      <xdr:rowOff>66675</xdr:rowOff>
    </xdr:to>
    <xdr:pic>
      <xdr:nvPicPr>
        <xdr:cNvPr id="4" name="Picture 5" descr="CDCLOGO-rgb_good">
          <a:hlinkClick r:id="rId4"/>
        </xdr:cNvPr>
        <xdr:cNvPicPr preferRelativeResize="1">
          <a:picLocks noChangeAspect="1"/>
        </xdr:cNvPicPr>
      </xdr:nvPicPr>
      <xdr:blipFill>
        <a:blip r:embed="rId2"/>
        <a:stretch>
          <a:fillRect/>
        </a:stretch>
      </xdr:blipFill>
      <xdr:spPr>
        <a:xfrm>
          <a:off x="57150" y="57150"/>
          <a:ext cx="866775" cy="495300"/>
        </a:xfrm>
        <a:prstGeom prst="rect">
          <a:avLst/>
        </a:prstGeom>
        <a:noFill/>
        <a:ln w="9525" cmpd="sng">
          <a:noFill/>
        </a:ln>
      </xdr:spPr>
    </xdr:pic>
    <xdr:clientData/>
  </xdr:twoCellAnchor>
  <xdr:twoCellAnchor>
    <xdr:from>
      <xdr:col>15</xdr:col>
      <xdr:colOff>333375</xdr:colOff>
      <xdr:row>0</xdr:row>
      <xdr:rowOff>28575</xdr:rowOff>
    </xdr:from>
    <xdr:to>
      <xdr:col>16</xdr:col>
      <xdr:colOff>542925</xdr:colOff>
      <xdr:row>3</xdr:row>
      <xdr:rowOff>104775</xdr:rowOff>
    </xdr:to>
    <xdr:sp>
      <xdr:nvSpPr>
        <xdr:cNvPr id="5" name="Rectangle 24"/>
        <xdr:cNvSpPr>
          <a:spLocks/>
        </xdr:cNvSpPr>
      </xdr:nvSpPr>
      <xdr:spPr>
        <a:xfrm>
          <a:off x="8172450" y="28575"/>
          <a:ext cx="819150" cy="561975"/>
        </a:xfrm>
        <a:prstGeom prst="rect">
          <a:avLst/>
        </a:prstGeom>
        <a:solidFill>
          <a:srgbClr val="FFCC00"/>
        </a:solidFill>
        <a:ln w="19050" cmpd="sng">
          <a:solidFill>
            <a:srgbClr val="000000"/>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latin typeface="Arial"/>
              <a:ea typeface="Arial"/>
              <a:cs typeface="Arial"/>
            </a:rPr>
            <a:t>PAGE 
6 of 14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8</xdr:row>
      <xdr:rowOff>0</xdr:rowOff>
    </xdr:from>
    <xdr:to>
      <xdr:col>17</xdr:col>
      <xdr:colOff>114300</xdr:colOff>
      <xdr:row>24</xdr:row>
      <xdr:rowOff>161925</xdr:rowOff>
    </xdr:to>
    <xdr:sp>
      <xdr:nvSpPr>
        <xdr:cNvPr id="1" name="Text Box 15"/>
        <xdr:cNvSpPr txBox="1">
          <a:spLocks noChangeArrowheads="1"/>
        </xdr:cNvSpPr>
      </xdr:nvSpPr>
      <xdr:spPr>
        <a:xfrm>
          <a:off x="3867150" y="1409700"/>
          <a:ext cx="5048250" cy="2790825"/>
        </a:xfrm>
        <a:prstGeom prst="rect">
          <a:avLst/>
        </a:prstGeom>
        <a:solidFill>
          <a:srgbClr val="FFFFFF"/>
        </a:solidFill>
        <a:ln w="19050"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NOTE: </a:t>
          </a:r>
          <a:r>
            <a:rPr lang="en-US" cap="none" sz="5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Default values are calculated from estimates in Reed C. (2009)* which calculated the number of total cases and percent hospitalizations by age group.
The calculations were based on estimates of high risk groups by age, using estimates Populations and High-risk Conditions for Influenza Vaccination based on 2007 National Health Interview Survey (NHIS 2007).  These estimates were 9% for 0-17 years, 17% for 18-64 years and 49% for ≥65 years.  
The distributions of hospitalizations between  high risk and non-high risk are from Jain S (2009) CDC unpublished,  who reported that  percent of high risk hospitalizations &lt;18 years to be 59% and ≥18 years to be 81%.
*Reed C, Angulo FJ, Swerdlow DL, Lipsitch M, Meltzer MI, Jernigan D, et al. Estimates of the Prevalence of Pandemic (H1N1) 2009, United States, April-July 2009. Emerg Infect Dis. 2009 Dec;15(12):2004-7.
</a:t>
          </a:r>
          <a:r>
            <a:rPr lang="en-US" cap="none" sz="1200" b="0" i="0" u="none" baseline="0">
              <a:solidFill>
                <a:srgbClr val="000000"/>
              </a:solidFill>
              <a:latin typeface="Arial"/>
              <a:ea typeface="Arial"/>
              <a:cs typeface="Arial"/>
            </a:rPr>
            <a:t>
</a:t>
          </a:r>
        </a:p>
      </xdr:txBody>
    </xdr:sp>
    <xdr:clientData/>
  </xdr:twoCellAnchor>
  <xdr:twoCellAnchor>
    <xdr:from>
      <xdr:col>0</xdr:col>
      <xdr:colOff>47625</xdr:colOff>
      <xdr:row>4</xdr:row>
      <xdr:rowOff>19050</xdr:rowOff>
    </xdr:from>
    <xdr:to>
      <xdr:col>7</xdr:col>
      <xdr:colOff>238125</xdr:colOff>
      <xdr:row>7</xdr:row>
      <xdr:rowOff>114300</xdr:rowOff>
    </xdr:to>
    <xdr:sp>
      <xdr:nvSpPr>
        <xdr:cNvPr id="2" name="Text Box 16"/>
        <xdr:cNvSpPr txBox="1">
          <a:spLocks noChangeArrowheads="1"/>
        </xdr:cNvSpPr>
      </xdr:nvSpPr>
      <xdr:spPr>
        <a:xfrm>
          <a:off x="47625" y="666750"/>
          <a:ext cx="3733800" cy="685800"/>
        </a:xfrm>
        <a:prstGeom prst="rect">
          <a:avLst/>
        </a:prstGeom>
        <a:solidFill>
          <a:srgbClr val="FFCC00"/>
        </a:solidFill>
        <a:ln w="19050"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Arial"/>
              <a:ea typeface="Arial"/>
              <a:cs typeface="Arial"/>
            </a:rPr>
            <a:t>PERCENT HOSPITALIZATIONS</a:t>
          </a:r>
          <a:r>
            <a:rPr lang="en-US" cap="none" sz="1200" b="1" i="0" u="none" baseline="0">
              <a:solidFill>
                <a:srgbClr val="000000"/>
              </a:solidFill>
              <a:latin typeface="Arial"/>
              <a:ea typeface="Arial"/>
              <a:cs typeface="Arial"/>
            </a:rPr>
            <a:t> (hospitalizations/case):
</a:t>
          </a:r>
          <a:r>
            <a:rPr lang="en-US" cap="none" sz="1200" b="1" i="0" u="none" baseline="0">
              <a:solidFill>
                <a:srgbClr val="000000"/>
              </a:solidFill>
              <a:latin typeface="Arial"/>
              <a:ea typeface="Arial"/>
              <a:cs typeface="Arial"/>
            </a:rPr>
            <a:t>ENTER YOUR DATA BELOW</a:t>
          </a:r>
        </a:p>
      </xdr:txBody>
    </xdr:sp>
    <xdr:clientData/>
  </xdr:twoCellAnchor>
  <xdr:twoCellAnchor>
    <xdr:from>
      <xdr:col>1</xdr:col>
      <xdr:colOff>76200</xdr:colOff>
      <xdr:row>0</xdr:row>
      <xdr:rowOff>104775</xdr:rowOff>
    </xdr:from>
    <xdr:to>
      <xdr:col>5</xdr:col>
      <xdr:colOff>47625</xdr:colOff>
      <xdr:row>3</xdr:row>
      <xdr:rowOff>142875</xdr:rowOff>
    </xdr:to>
    <xdr:sp>
      <xdr:nvSpPr>
        <xdr:cNvPr id="3" name="WordArt 21">
          <a:hlinkClick r:id="rId1"/>
        </xdr:cNvPr>
        <xdr:cNvSpPr>
          <a:spLocks/>
        </xdr:cNvSpPr>
      </xdr:nvSpPr>
      <xdr:spPr>
        <a:xfrm>
          <a:off x="981075" y="104775"/>
          <a:ext cx="1704975" cy="523875"/>
        </a:xfrm>
        <a:prstGeom prst="rect"/>
        <a:noFill/>
      </xdr:spPr>
      <xdr:txBody>
        <a:bodyPr fromWordArt="1" wrap="none" lIns="91440" tIns="45720" rIns="91440" bIns="45720">
          <a:prstTxWarp prst="textPlain"/>
        </a:bodyPr>
        <a:p>
          <a:pPr algn="ctr"/>
          <a:r>
            <a:rPr sz="4000" kern="10" spc="0">
              <a:ln w="9525" cmpd="sng">
                <a:solidFill>
                  <a:srgbClr val="808080"/>
                </a:solidFill>
                <a:headEnd type="none"/>
                <a:tailEnd type="none"/>
              </a:ln>
              <a:gradFill rotWithShape="1">
                <a:gsLst>
                  <a:gs pos="0">
                    <a:srgbClr val="993300"/>
                  </a:gs>
                  <a:gs pos="100000">
                    <a:srgbClr val="FFCC00"/>
                  </a:gs>
                </a:gsLst>
                <a:lin ang="5400000" scaled="1"/>
              </a:gradFill>
              <a:latin typeface="Arial Black"/>
              <a:cs typeface="Arial Black"/>
            </a:rPr>
            <a:t>FLUAID Special Edition</a:t>
          </a:r>
        </a:p>
      </xdr:txBody>
    </xdr:sp>
    <xdr:clientData/>
  </xdr:twoCellAnchor>
  <xdr:twoCellAnchor>
    <xdr:from>
      <xdr:col>0</xdr:col>
      <xdr:colOff>57150</xdr:colOff>
      <xdr:row>0</xdr:row>
      <xdr:rowOff>57150</xdr:rowOff>
    </xdr:from>
    <xdr:to>
      <xdr:col>1</xdr:col>
      <xdr:colOff>19050</xdr:colOff>
      <xdr:row>3</xdr:row>
      <xdr:rowOff>66675</xdr:rowOff>
    </xdr:to>
    <xdr:pic>
      <xdr:nvPicPr>
        <xdr:cNvPr id="4" name="Picture 5" descr="CDCLOGO-rgb_good">
          <a:hlinkClick r:id="rId4"/>
        </xdr:cNvPr>
        <xdr:cNvPicPr preferRelativeResize="1">
          <a:picLocks noChangeAspect="1"/>
        </xdr:cNvPicPr>
      </xdr:nvPicPr>
      <xdr:blipFill>
        <a:blip r:embed="rId2"/>
        <a:stretch>
          <a:fillRect/>
        </a:stretch>
      </xdr:blipFill>
      <xdr:spPr>
        <a:xfrm>
          <a:off x="57150" y="57150"/>
          <a:ext cx="866775" cy="495300"/>
        </a:xfrm>
        <a:prstGeom prst="rect">
          <a:avLst/>
        </a:prstGeom>
        <a:noFill/>
        <a:ln w="9525" cmpd="sng">
          <a:noFill/>
        </a:ln>
      </xdr:spPr>
    </xdr:pic>
    <xdr:clientData/>
  </xdr:twoCellAnchor>
  <xdr:twoCellAnchor>
    <xdr:from>
      <xdr:col>15</xdr:col>
      <xdr:colOff>590550</xdr:colOff>
      <xdr:row>0</xdr:row>
      <xdr:rowOff>28575</xdr:rowOff>
    </xdr:from>
    <xdr:to>
      <xdr:col>17</xdr:col>
      <xdr:colOff>190500</xdr:colOff>
      <xdr:row>3</xdr:row>
      <xdr:rowOff>104775</xdr:rowOff>
    </xdr:to>
    <xdr:sp>
      <xdr:nvSpPr>
        <xdr:cNvPr id="5" name="Rectangle 23"/>
        <xdr:cNvSpPr>
          <a:spLocks/>
        </xdr:cNvSpPr>
      </xdr:nvSpPr>
      <xdr:spPr>
        <a:xfrm>
          <a:off x="8172450" y="28575"/>
          <a:ext cx="819150" cy="561975"/>
        </a:xfrm>
        <a:prstGeom prst="rect">
          <a:avLst/>
        </a:prstGeom>
        <a:solidFill>
          <a:srgbClr val="FFCC00"/>
        </a:solidFill>
        <a:ln w="19050" cmpd="sng">
          <a:solidFill>
            <a:srgbClr val="000000"/>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latin typeface="Arial"/>
              <a:ea typeface="Arial"/>
              <a:cs typeface="Arial"/>
            </a:rPr>
            <a:t>PAGE 
7 of 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9525</xdr:colOff>
      <xdr:row>9</xdr:row>
      <xdr:rowOff>152400</xdr:rowOff>
    </xdr:from>
    <xdr:to>
      <xdr:col>39</xdr:col>
      <xdr:colOff>609600</xdr:colOff>
      <xdr:row>9</xdr:row>
      <xdr:rowOff>152400</xdr:rowOff>
    </xdr:to>
    <xdr:sp>
      <xdr:nvSpPr>
        <xdr:cNvPr id="1" name="Line 18"/>
        <xdr:cNvSpPr>
          <a:spLocks/>
        </xdr:cNvSpPr>
      </xdr:nvSpPr>
      <xdr:spPr>
        <a:xfrm>
          <a:off x="22479000" y="1743075"/>
          <a:ext cx="600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41</xdr:col>
      <xdr:colOff>314325</xdr:colOff>
      <xdr:row>10</xdr:row>
      <xdr:rowOff>9525</xdr:rowOff>
    </xdr:from>
    <xdr:to>
      <xdr:col>42</xdr:col>
      <xdr:colOff>504825</xdr:colOff>
      <xdr:row>10</xdr:row>
      <xdr:rowOff>9525</xdr:rowOff>
    </xdr:to>
    <xdr:sp>
      <xdr:nvSpPr>
        <xdr:cNvPr id="2" name="Line 19"/>
        <xdr:cNvSpPr>
          <a:spLocks/>
        </xdr:cNvSpPr>
      </xdr:nvSpPr>
      <xdr:spPr>
        <a:xfrm flipV="1">
          <a:off x="24003000" y="1781175"/>
          <a:ext cx="80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44</xdr:col>
      <xdr:colOff>28575</xdr:colOff>
      <xdr:row>10</xdr:row>
      <xdr:rowOff>19050</xdr:rowOff>
    </xdr:from>
    <xdr:to>
      <xdr:col>44</xdr:col>
      <xdr:colOff>609600</xdr:colOff>
      <xdr:row>10</xdr:row>
      <xdr:rowOff>19050</xdr:rowOff>
    </xdr:to>
    <xdr:sp>
      <xdr:nvSpPr>
        <xdr:cNvPr id="3" name="Line 20"/>
        <xdr:cNvSpPr>
          <a:spLocks/>
        </xdr:cNvSpPr>
      </xdr:nvSpPr>
      <xdr:spPr>
        <a:xfrm>
          <a:off x="25546050" y="1790700"/>
          <a:ext cx="581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219075</xdr:colOff>
      <xdr:row>4</xdr:row>
      <xdr:rowOff>47625</xdr:rowOff>
    </xdr:from>
    <xdr:to>
      <xdr:col>7</xdr:col>
      <xdr:colOff>104775</xdr:colOff>
      <xdr:row>8</xdr:row>
      <xdr:rowOff>9525</xdr:rowOff>
    </xdr:to>
    <xdr:sp>
      <xdr:nvSpPr>
        <xdr:cNvPr id="4" name="Text Box 35"/>
        <xdr:cNvSpPr txBox="1">
          <a:spLocks noChangeArrowheads="1"/>
        </xdr:cNvSpPr>
      </xdr:nvSpPr>
      <xdr:spPr>
        <a:xfrm>
          <a:off x="219075" y="695325"/>
          <a:ext cx="3686175" cy="704850"/>
        </a:xfrm>
        <a:prstGeom prst="rect">
          <a:avLst/>
        </a:prstGeom>
        <a:solidFill>
          <a:srgbClr val="FFCC00"/>
        </a:solidFill>
        <a:ln w="19050"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Arial"/>
              <a:ea typeface="Arial"/>
              <a:cs typeface="Arial"/>
            </a:rPr>
            <a:t>PERCENT DEATHS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(deaths/case):
</a:t>
          </a:r>
          <a:r>
            <a:rPr lang="en-US" cap="none" sz="1200" b="1" i="0" u="none" baseline="0">
              <a:solidFill>
                <a:srgbClr val="000000"/>
              </a:solidFill>
              <a:latin typeface="Arial"/>
              <a:ea typeface="Arial"/>
              <a:cs typeface="Arial"/>
            </a:rPr>
            <a:t>ENTER YOUR DATA BELOW</a:t>
          </a:r>
        </a:p>
      </xdr:txBody>
    </xdr:sp>
    <xdr:clientData/>
  </xdr:twoCellAnchor>
  <xdr:twoCellAnchor>
    <xdr:from>
      <xdr:col>7</xdr:col>
      <xdr:colOff>161925</xdr:colOff>
      <xdr:row>8</xdr:row>
      <xdr:rowOff>104775</xdr:rowOff>
    </xdr:from>
    <xdr:to>
      <xdr:col>18</xdr:col>
      <xdr:colOff>190500</xdr:colOff>
      <xdr:row>21</xdr:row>
      <xdr:rowOff>9525</xdr:rowOff>
    </xdr:to>
    <xdr:sp>
      <xdr:nvSpPr>
        <xdr:cNvPr id="5" name="Text Box 40"/>
        <xdr:cNvSpPr txBox="1">
          <a:spLocks noChangeArrowheads="1"/>
        </xdr:cNvSpPr>
      </xdr:nvSpPr>
      <xdr:spPr>
        <a:xfrm>
          <a:off x="3962400" y="1495425"/>
          <a:ext cx="5895975" cy="2009775"/>
        </a:xfrm>
        <a:prstGeom prst="rect">
          <a:avLst/>
        </a:prstGeom>
        <a:solidFill>
          <a:srgbClr val="FFFFFF"/>
        </a:solidFill>
        <a:ln w="19050"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DEFAULT VALUES: 
</a:t>
          </a:r>
          <a:r>
            <a:rPr lang="en-US" cap="none" sz="1000" b="0" i="0" u="none" baseline="0">
              <a:solidFill>
                <a:srgbClr val="000000"/>
              </a:solidFill>
              <a:latin typeface="Arial"/>
              <a:ea typeface="Arial"/>
              <a:cs typeface="Arial"/>
            </a:rPr>
            <a:t>Default values are calculated from estimates in Reed C. (2009) CDC unpublished, which calculated the number of total cases and percent hospitalizations by age group.
The calculations were based on estimates of high risk groups by age, using estimates Populations and High-risk Conditions for Influenza Vaccination based on 2007 National Health Interview Survey (NHIS 2007).  These estimates were 9% for 0-17 years, 17% for 18-64 years and 49% for ≥65 years.  
The high risk and non-high risk estimates for mortality  were based on the distributions of hospitalizations between  high risk and non-high risk , as measured by Jain S (2009) CDC unpublished,  who reported that  percent of high risk hospitalizations &lt;18 years to be 59% and ≥18 years to be 81%.</a:t>
          </a:r>
          <a:r>
            <a:rPr lang="en-US" cap="none" sz="1200" b="0" i="0" u="none" baseline="0">
              <a:solidFill>
                <a:srgbClr val="000000"/>
              </a:solidFill>
              <a:latin typeface="Arial"/>
              <a:ea typeface="Arial"/>
              <a:cs typeface="Arial"/>
            </a:rPr>
            <a:t>
</a:t>
          </a:r>
        </a:p>
      </xdr:txBody>
    </xdr:sp>
    <xdr:clientData/>
  </xdr:twoCellAnchor>
  <xdr:twoCellAnchor>
    <xdr:from>
      <xdr:col>0</xdr:col>
      <xdr:colOff>981075</xdr:colOff>
      <xdr:row>0</xdr:row>
      <xdr:rowOff>104775</xdr:rowOff>
    </xdr:from>
    <xdr:to>
      <xdr:col>4</xdr:col>
      <xdr:colOff>142875</xdr:colOff>
      <xdr:row>3</xdr:row>
      <xdr:rowOff>142875</xdr:rowOff>
    </xdr:to>
    <xdr:sp>
      <xdr:nvSpPr>
        <xdr:cNvPr id="6" name="WordArt 43">
          <a:hlinkClick r:id="rId1"/>
        </xdr:cNvPr>
        <xdr:cNvSpPr>
          <a:spLocks/>
        </xdr:cNvSpPr>
      </xdr:nvSpPr>
      <xdr:spPr>
        <a:xfrm>
          <a:off x="981075" y="104775"/>
          <a:ext cx="1704975" cy="523875"/>
        </a:xfrm>
        <a:prstGeom prst="rect"/>
        <a:noFill/>
      </xdr:spPr>
      <xdr:txBody>
        <a:bodyPr fromWordArt="1" wrap="none" lIns="91440" tIns="45720" rIns="91440" bIns="45720">
          <a:prstTxWarp prst="textPlain"/>
        </a:bodyPr>
        <a:p>
          <a:pPr algn="ctr"/>
          <a:r>
            <a:rPr sz="4000" kern="10" spc="0">
              <a:ln w="9525" cmpd="sng">
                <a:solidFill>
                  <a:srgbClr val="808080"/>
                </a:solidFill>
                <a:headEnd type="none"/>
                <a:tailEnd type="none"/>
              </a:ln>
              <a:gradFill rotWithShape="1">
                <a:gsLst>
                  <a:gs pos="0">
                    <a:srgbClr val="993300"/>
                  </a:gs>
                  <a:gs pos="100000">
                    <a:srgbClr val="FFCC00"/>
                  </a:gs>
                </a:gsLst>
                <a:lin ang="5400000" scaled="1"/>
              </a:gradFill>
              <a:latin typeface="Arial Black"/>
              <a:cs typeface="Arial Black"/>
            </a:rPr>
            <a:t>FLUAID Special Edition</a:t>
          </a:r>
        </a:p>
      </xdr:txBody>
    </xdr:sp>
    <xdr:clientData/>
  </xdr:twoCellAnchor>
  <xdr:twoCellAnchor>
    <xdr:from>
      <xdr:col>0</xdr:col>
      <xdr:colOff>57150</xdr:colOff>
      <xdr:row>0</xdr:row>
      <xdr:rowOff>57150</xdr:rowOff>
    </xdr:from>
    <xdr:to>
      <xdr:col>0</xdr:col>
      <xdr:colOff>923925</xdr:colOff>
      <xdr:row>3</xdr:row>
      <xdr:rowOff>66675</xdr:rowOff>
    </xdr:to>
    <xdr:pic>
      <xdr:nvPicPr>
        <xdr:cNvPr id="7" name="Picture 5" descr="CDCLOGO-rgb_good">
          <a:hlinkClick r:id="rId4"/>
        </xdr:cNvPr>
        <xdr:cNvPicPr preferRelativeResize="1">
          <a:picLocks noChangeAspect="1"/>
        </xdr:cNvPicPr>
      </xdr:nvPicPr>
      <xdr:blipFill>
        <a:blip r:embed="rId2"/>
        <a:stretch>
          <a:fillRect/>
        </a:stretch>
      </xdr:blipFill>
      <xdr:spPr>
        <a:xfrm>
          <a:off x="57150" y="57150"/>
          <a:ext cx="866775" cy="495300"/>
        </a:xfrm>
        <a:prstGeom prst="rect">
          <a:avLst/>
        </a:prstGeom>
        <a:noFill/>
        <a:ln w="9525" cmpd="sng">
          <a:noFill/>
        </a:ln>
      </xdr:spPr>
    </xdr:pic>
    <xdr:clientData/>
  </xdr:twoCellAnchor>
  <xdr:twoCellAnchor>
    <xdr:from>
      <xdr:col>15</xdr:col>
      <xdr:colOff>333375</xdr:colOff>
      <xdr:row>0</xdr:row>
      <xdr:rowOff>28575</xdr:rowOff>
    </xdr:from>
    <xdr:to>
      <xdr:col>16</xdr:col>
      <xdr:colOff>542925</xdr:colOff>
      <xdr:row>3</xdr:row>
      <xdr:rowOff>104775</xdr:rowOff>
    </xdr:to>
    <xdr:sp>
      <xdr:nvSpPr>
        <xdr:cNvPr id="8" name="Rectangle 45"/>
        <xdr:cNvSpPr>
          <a:spLocks/>
        </xdr:cNvSpPr>
      </xdr:nvSpPr>
      <xdr:spPr>
        <a:xfrm>
          <a:off x="8172450" y="28575"/>
          <a:ext cx="819150" cy="561975"/>
        </a:xfrm>
        <a:prstGeom prst="rect">
          <a:avLst/>
        </a:prstGeom>
        <a:solidFill>
          <a:srgbClr val="FFCC00"/>
        </a:solidFill>
        <a:ln w="19050" cmpd="sng">
          <a:solidFill>
            <a:srgbClr val="000000"/>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latin typeface="Arial"/>
              <a:ea typeface="Arial"/>
              <a:cs typeface="Arial"/>
            </a:rPr>
            <a:t>PAGE 
8 of 14</a:t>
          </a:r>
        </a:p>
      </xdr:txBody>
    </xdr:sp>
    <xdr:clientData/>
  </xdr:twoCellAnchor>
  <xdr:twoCellAnchor>
    <xdr:from>
      <xdr:col>39</xdr:col>
      <xdr:colOff>9525</xdr:colOff>
      <xdr:row>32</xdr:row>
      <xdr:rowOff>152400</xdr:rowOff>
    </xdr:from>
    <xdr:to>
      <xdr:col>39</xdr:col>
      <xdr:colOff>609600</xdr:colOff>
      <xdr:row>32</xdr:row>
      <xdr:rowOff>152400</xdr:rowOff>
    </xdr:to>
    <xdr:sp>
      <xdr:nvSpPr>
        <xdr:cNvPr id="9" name="Line 18"/>
        <xdr:cNvSpPr>
          <a:spLocks/>
        </xdr:cNvSpPr>
      </xdr:nvSpPr>
      <xdr:spPr>
        <a:xfrm>
          <a:off x="22479000" y="5572125"/>
          <a:ext cx="600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41</xdr:col>
      <xdr:colOff>314325</xdr:colOff>
      <xdr:row>33</xdr:row>
      <xdr:rowOff>9525</xdr:rowOff>
    </xdr:from>
    <xdr:to>
      <xdr:col>42</xdr:col>
      <xdr:colOff>504825</xdr:colOff>
      <xdr:row>33</xdr:row>
      <xdr:rowOff>9525</xdr:rowOff>
    </xdr:to>
    <xdr:sp>
      <xdr:nvSpPr>
        <xdr:cNvPr id="10" name="Line 19"/>
        <xdr:cNvSpPr>
          <a:spLocks/>
        </xdr:cNvSpPr>
      </xdr:nvSpPr>
      <xdr:spPr>
        <a:xfrm flipV="1">
          <a:off x="24003000" y="5629275"/>
          <a:ext cx="80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44</xdr:col>
      <xdr:colOff>28575</xdr:colOff>
      <xdr:row>33</xdr:row>
      <xdr:rowOff>19050</xdr:rowOff>
    </xdr:from>
    <xdr:to>
      <xdr:col>44</xdr:col>
      <xdr:colOff>609600</xdr:colOff>
      <xdr:row>33</xdr:row>
      <xdr:rowOff>19050</xdr:rowOff>
    </xdr:to>
    <xdr:sp>
      <xdr:nvSpPr>
        <xdr:cNvPr id="11" name="Line 20"/>
        <xdr:cNvSpPr>
          <a:spLocks/>
        </xdr:cNvSpPr>
      </xdr:nvSpPr>
      <xdr:spPr>
        <a:xfrm>
          <a:off x="25546050" y="5638800"/>
          <a:ext cx="581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171450</xdr:colOff>
      <xdr:row>23</xdr:row>
      <xdr:rowOff>95250</xdr:rowOff>
    </xdr:from>
    <xdr:to>
      <xdr:col>18</xdr:col>
      <xdr:colOff>190500</xdr:colOff>
      <xdr:row>32</xdr:row>
      <xdr:rowOff>104775</xdr:rowOff>
    </xdr:to>
    <xdr:sp>
      <xdr:nvSpPr>
        <xdr:cNvPr id="12" name="Text Box 40"/>
        <xdr:cNvSpPr txBox="1">
          <a:spLocks noChangeArrowheads="1"/>
        </xdr:cNvSpPr>
      </xdr:nvSpPr>
      <xdr:spPr>
        <a:xfrm>
          <a:off x="3971925" y="3933825"/>
          <a:ext cx="5886450" cy="1590675"/>
        </a:xfrm>
        <a:prstGeom prst="rect">
          <a:avLst/>
        </a:prstGeom>
        <a:solidFill>
          <a:srgbClr val="FFFFFF"/>
        </a:solidFill>
        <a:ln w="19050" cmpd="sng">
          <a:solidFill>
            <a:srgbClr val="000000"/>
          </a:solidFill>
          <a:headEnd type="none"/>
          <a:tailEnd type="none"/>
        </a:ln>
      </xdr:spPr>
      <xdr:txBody>
        <a:bodyPr vertOverflow="clip" wrap="square" lIns="36576" tIns="22860" rIns="36576" bIns="0"/>
        <a:p>
          <a:pPr algn="ctr">
            <a:defRPr/>
          </a:pPr>
          <a:r>
            <a:rPr lang="en-US" cap="none" sz="1000" b="0" i="0" u="none" baseline="0">
              <a:solidFill>
                <a:srgbClr val="000000"/>
              </a:solidFill>
              <a:latin typeface="Arial"/>
              <a:ea typeface="Arial"/>
              <a:cs typeface="Arial"/>
            </a:rPr>
            <a:t>SENSITIVITY ANALYSIS:
Users can conduct a sensitivity analysis by asuming that all deaths are accurately recorded.  Therefore, no multipliers for the death rates are assumed.  The data show that as of September 14, there were 45 deaths (&lt;18), 287 deaths (18-64) and 37 deaths (65+).  
These data come from CDC 2009 unpublished.  
The high risk and non-high risk estimates for mortality  were based on the distributions of hospitalizations between  high risk and non-high risk , as measured by Jain S (2009) CDC unpublished,  who reported that  percent of high risk hospitalizations &lt;18 years to be 59% and ≥18 years to be 81%.</a:t>
          </a:r>
          <a:r>
            <a:rPr lang="en-US" cap="none" sz="12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9</xdr:row>
      <xdr:rowOff>180975</xdr:rowOff>
    </xdr:from>
    <xdr:to>
      <xdr:col>3</xdr:col>
      <xdr:colOff>600075</xdr:colOff>
      <xdr:row>9</xdr:row>
      <xdr:rowOff>180975</xdr:rowOff>
    </xdr:to>
    <xdr:sp>
      <xdr:nvSpPr>
        <xdr:cNvPr id="1" name="Line 9"/>
        <xdr:cNvSpPr>
          <a:spLocks/>
        </xdr:cNvSpPr>
      </xdr:nvSpPr>
      <xdr:spPr>
        <a:xfrm>
          <a:off x="1876425" y="1466850"/>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xdr:colOff>
      <xdr:row>9</xdr:row>
      <xdr:rowOff>180975</xdr:rowOff>
    </xdr:from>
    <xdr:to>
      <xdr:col>5</xdr:col>
      <xdr:colOff>561975</xdr:colOff>
      <xdr:row>9</xdr:row>
      <xdr:rowOff>180975</xdr:rowOff>
    </xdr:to>
    <xdr:sp>
      <xdr:nvSpPr>
        <xdr:cNvPr id="2" name="Line 10"/>
        <xdr:cNvSpPr>
          <a:spLocks/>
        </xdr:cNvSpPr>
      </xdr:nvSpPr>
      <xdr:spPr>
        <a:xfrm>
          <a:off x="2714625" y="1466850"/>
          <a:ext cx="495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9525</xdr:colOff>
      <xdr:row>9</xdr:row>
      <xdr:rowOff>190500</xdr:rowOff>
    </xdr:from>
    <xdr:to>
      <xdr:col>8</xdr:col>
      <xdr:colOff>19050</xdr:colOff>
      <xdr:row>9</xdr:row>
      <xdr:rowOff>190500</xdr:rowOff>
    </xdr:to>
    <xdr:sp>
      <xdr:nvSpPr>
        <xdr:cNvPr id="3" name="Line 11"/>
        <xdr:cNvSpPr>
          <a:spLocks/>
        </xdr:cNvSpPr>
      </xdr:nvSpPr>
      <xdr:spPr>
        <a:xfrm>
          <a:off x="3514725" y="1476375"/>
          <a:ext cx="619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142875</xdr:colOff>
      <xdr:row>19</xdr:row>
      <xdr:rowOff>133350</xdr:rowOff>
    </xdr:from>
    <xdr:to>
      <xdr:col>4</xdr:col>
      <xdr:colOff>28575</xdr:colOff>
      <xdr:row>31</xdr:row>
      <xdr:rowOff>28575</xdr:rowOff>
    </xdr:to>
    <xdr:sp>
      <xdr:nvSpPr>
        <xdr:cNvPr id="4" name="Text Box 13"/>
        <xdr:cNvSpPr txBox="1">
          <a:spLocks noChangeArrowheads="1"/>
        </xdr:cNvSpPr>
      </xdr:nvSpPr>
      <xdr:spPr>
        <a:xfrm>
          <a:off x="142875" y="3238500"/>
          <a:ext cx="2333625" cy="1838325"/>
        </a:xfrm>
        <a:prstGeom prst="rect">
          <a:avLst/>
        </a:prstGeom>
        <a:solidFill>
          <a:srgbClr val="FFFFFF"/>
        </a:solidFill>
        <a:ln w="19050" cmpd="sng">
          <a:solidFill>
            <a:srgbClr val="000000"/>
          </a:solidFill>
          <a:headEnd type="none"/>
          <a:tailEnd type="none"/>
        </a:ln>
      </xdr:spPr>
      <xdr:txBody>
        <a:bodyPr vertOverflow="clip" wrap="square" lIns="36576" tIns="27432" rIns="36576" bIns="0"/>
        <a:p>
          <a:pPr algn="ctr">
            <a:defRPr/>
          </a:pPr>
          <a:r>
            <a:rPr lang="en-US" cap="none" sz="1400" b="0" i="0" u="none" baseline="0">
              <a:solidFill>
                <a:srgbClr val="000000"/>
              </a:solidFill>
              <a:latin typeface="Arial"/>
              <a:ea typeface="Arial"/>
              <a:cs typeface="Arial"/>
            </a:rPr>
            <a:t>HINT:  
</a:t>
          </a:r>
          <a:r>
            <a:rPr lang="en-US" cap="none" sz="1400" b="0" i="0" u="none" baseline="0">
              <a:solidFill>
                <a:srgbClr val="000000"/>
              </a:solidFill>
              <a:latin typeface="Arial"/>
              <a:ea typeface="Arial"/>
              <a:cs typeface="Arial"/>
            </a:rPr>
            <a:t>In this model, gross attack rates refer only to the percentages of population that have a clinical case of novel influenza type A (H1N1). </a:t>
          </a:r>
        </a:p>
      </xdr:txBody>
    </xdr:sp>
    <xdr:clientData/>
  </xdr:twoCellAnchor>
  <xdr:twoCellAnchor>
    <xdr:from>
      <xdr:col>39</xdr:col>
      <xdr:colOff>38100</xdr:colOff>
      <xdr:row>9</xdr:row>
      <xdr:rowOff>180975</xdr:rowOff>
    </xdr:from>
    <xdr:to>
      <xdr:col>39</xdr:col>
      <xdr:colOff>600075</xdr:colOff>
      <xdr:row>9</xdr:row>
      <xdr:rowOff>180975</xdr:rowOff>
    </xdr:to>
    <xdr:sp>
      <xdr:nvSpPr>
        <xdr:cNvPr id="5" name="Line 15"/>
        <xdr:cNvSpPr>
          <a:spLocks/>
        </xdr:cNvSpPr>
      </xdr:nvSpPr>
      <xdr:spPr>
        <a:xfrm>
          <a:off x="22402800" y="1466850"/>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41</xdr:col>
      <xdr:colOff>66675</xdr:colOff>
      <xdr:row>9</xdr:row>
      <xdr:rowOff>180975</xdr:rowOff>
    </xdr:from>
    <xdr:to>
      <xdr:col>41</xdr:col>
      <xdr:colOff>561975</xdr:colOff>
      <xdr:row>9</xdr:row>
      <xdr:rowOff>180975</xdr:rowOff>
    </xdr:to>
    <xdr:sp>
      <xdr:nvSpPr>
        <xdr:cNvPr id="6" name="Line 16"/>
        <xdr:cNvSpPr>
          <a:spLocks/>
        </xdr:cNvSpPr>
      </xdr:nvSpPr>
      <xdr:spPr>
        <a:xfrm>
          <a:off x="23650575" y="1466850"/>
          <a:ext cx="495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43</xdr:col>
      <xdr:colOff>9525</xdr:colOff>
      <xdr:row>9</xdr:row>
      <xdr:rowOff>190500</xdr:rowOff>
    </xdr:from>
    <xdr:to>
      <xdr:col>44</xdr:col>
      <xdr:colOff>19050</xdr:colOff>
      <xdr:row>9</xdr:row>
      <xdr:rowOff>190500</xdr:rowOff>
    </xdr:to>
    <xdr:sp>
      <xdr:nvSpPr>
        <xdr:cNvPr id="7" name="Line 17"/>
        <xdr:cNvSpPr>
          <a:spLocks/>
        </xdr:cNvSpPr>
      </xdr:nvSpPr>
      <xdr:spPr>
        <a:xfrm>
          <a:off x="24812625" y="1476375"/>
          <a:ext cx="619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333375</xdr:colOff>
      <xdr:row>4</xdr:row>
      <xdr:rowOff>38100</xdr:rowOff>
    </xdr:from>
    <xdr:to>
      <xdr:col>8</xdr:col>
      <xdr:colOff>295275</xdr:colOff>
      <xdr:row>6</xdr:row>
      <xdr:rowOff>180975</xdr:rowOff>
    </xdr:to>
    <xdr:sp>
      <xdr:nvSpPr>
        <xdr:cNvPr id="8" name="Text Box 37"/>
        <xdr:cNvSpPr txBox="1">
          <a:spLocks noChangeArrowheads="1"/>
        </xdr:cNvSpPr>
      </xdr:nvSpPr>
      <xdr:spPr>
        <a:xfrm>
          <a:off x="333375" y="685800"/>
          <a:ext cx="4076700" cy="495300"/>
        </a:xfrm>
        <a:prstGeom prst="rect">
          <a:avLst/>
        </a:prstGeom>
        <a:solidFill>
          <a:srgbClr val="FFCC00"/>
        </a:solidFill>
        <a:ln w="19050"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ATTACK RATE</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(Cases/population)</a:t>
          </a:r>
        </a:p>
      </xdr:txBody>
    </xdr:sp>
    <xdr:clientData/>
  </xdr:twoCellAnchor>
  <xdr:twoCellAnchor>
    <xdr:from>
      <xdr:col>8</xdr:col>
      <xdr:colOff>352425</xdr:colOff>
      <xdr:row>9</xdr:row>
      <xdr:rowOff>19050</xdr:rowOff>
    </xdr:from>
    <xdr:to>
      <xdr:col>16</xdr:col>
      <xdr:colOff>180975</xdr:colOff>
      <xdr:row>18</xdr:row>
      <xdr:rowOff>133350</xdr:rowOff>
    </xdr:to>
    <xdr:sp>
      <xdr:nvSpPr>
        <xdr:cNvPr id="9" name="Text Box 38"/>
        <xdr:cNvSpPr txBox="1">
          <a:spLocks noChangeArrowheads="1"/>
        </xdr:cNvSpPr>
      </xdr:nvSpPr>
      <xdr:spPr>
        <a:xfrm>
          <a:off x="4467225" y="1304925"/>
          <a:ext cx="4057650" cy="1771650"/>
        </a:xfrm>
        <a:prstGeom prst="rect">
          <a:avLst/>
        </a:prstGeom>
        <a:solidFill>
          <a:srgbClr val="FFFFFF"/>
        </a:solidFill>
        <a:ln w="19050"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DEFAULT VALUES: 
The weighted average attack rates are calculated using the distribution of population as entered by the user (page 4 of 14).
The default values were constructed using the distribution of cases as estimated by Reed et al. (CDC), 2009 (Spring 2009, U.S.).</a:t>
          </a:r>
        </a:p>
      </xdr:txBody>
    </xdr:sp>
    <xdr:clientData/>
  </xdr:twoCellAnchor>
  <xdr:twoCellAnchor>
    <xdr:from>
      <xdr:col>1</xdr:col>
      <xdr:colOff>371475</xdr:colOff>
      <xdr:row>0</xdr:row>
      <xdr:rowOff>104775</xdr:rowOff>
    </xdr:from>
    <xdr:to>
      <xdr:col>5</xdr:col>
      <xdr:colOff>38100</xdr:colOff>
      <xdr:row>3</xdr:row>
      <xdr:rowOff>142875</xdr:rowOff>
    </xdr:to>
    <xdr:sp>
      <xdr:nvSpPr>
        <xdr:cNvPr id="10" name="WordArt 43">
          <a:hlinkClick r:id="rId1"/>
        </xdr:cNvPr>
        <xdr:cNvSpPr>
          <a:spLocks/>
        </xdr:cNvSpPr>
      </xdr:nvSpPr>
      <xdr:spPr>
        <a:xfrm>
          <a:off x="981075" y="104775"/>
          <a:ext cx="1704975" cy="523875"/>
        </a:xfrm>
        <a:prstGeom prst="rect"/>
        <a:noFill/>
      </xdr:spPr>
      <xdr:txBody>
        <a:bodyPr fromWordArt="1" wrap="none" lIns="91440" tIns="45720" rIns="91440" bIns="45720">
          <a:prstTxWarp prst="textPlain"/>
        </a:bodyPr>
        <a:p>
          <a:pPr algn="ctr"/>
          <a:r>
            <a:rPr sz="4000" kern="10" spc="0">
              <a:ln w="9525" cmpd="sng">
                <a:solidFill>
                  <a:srgbClr val="808080"/>
                </a:solidFill>
                <a:headEnd type="none"/>
                <a:tailEnd type="none"/>
              </a:ln>
              <a:gradFill rotWithShape="1">
                <a:gsLst>
                  <a:gs pos="0">
                    <a:srgbClr val="993300"/>
                  </a:gs>
                  <a:gs pos="100000">
                    <a:srgbClr val="FFCC00"/>
                  </a:gs>
                </a:gsLst>
                <a:lin ang="5400000" scaled="1"/>
              </a:gradFill>
              <a:latin typeface="Arial Black"/>
              <a:cs typeface="Arial Black"/>
            </a:rPr>
            <a:t>FLUAID Special Edition</a:t>
          </a:r>
        </a:p>
      </xdr:txBody>
    </xdr:sp>
    <xdr:clientData/>
  </xdr:twoCellAnchor>
  <xdr:twoCellAnchor>
    <xdr:from>
      <xdr:col>0</xdr:col>
      <xdr:colOff>57150</xdr:colOff>
      <xdr:row>0</xdr:row>
      <xdr:rowOff>57150</xdr:rowOff>
    </xdr:from>
    <xdr:to>
      <xdr:col>1</xdr:col>
      <xdr:colOff>314325</xdr:colOff>
      <xdr:row>3</xdr:row>
      <xdr:rowOff>66675</xdr:rowOff>
    </xdr:to>
    <xdr:pic>
      <xdr:nvPicPr>
        <xdr:cNvPr id="11" name="Picture 5" descr="CDCLOGO-rgb_good">
          <a:hlinkClick r:id="rId4"/>
        </xdr:cNvPr>
        <xdr:cNvPicPr preferRelativeResize="1">
          <a:picLocks noChangeAspect="1"/>
        </xdr:cNvPicPr>
      </xdr:nvPicPr>
      <xdr:blipFill>
        <a:blip r:embed="rId2"/>
        <a:stretch>
          <a:fillRect/>
        </a:stretch>
      </xdr:blipFill>
      <xdr:spPr>
        <a:xfrm>
          <a:off x="57150" y="57150"/>
          <a:ext cx="866775" cy="495300"/>
        </a:xfrm>
        <a:prstGeom prst="rect">
          <a:avLst/>
        </a:prstGeom>
        <a:noFill/>
        <a:ln w="9525" cmpd="sng">
          <a:noFill/>
        </a:ln>
      </xdr:spPr>
    </xdr:pic>
    <xdr:clientData/>
  </xdr:twoCellAnchor>
  <xdr:twoCellAnchor>
    <xdr:from>
      <xdr:col>15</xdr:col>
      <xdr:colOff>438150</xdr:colOff>
      <xdr:row>0</xdr:row>
      <xdr:rowOff>28575</xdr:rowOff>
    </xdr:from>
    <xdr:to>
      <xdr:col>17</xdr:col>
      <xdr:colOff>38100</xdr:colOff>
      <xdr:row>3</xdr:row>
      <xdr:rowOff>104775</xdr:rowOff>
    </xdr:to>
    <xdr:sp>
      <xdr:nvSpPr>
        <xdr:cNvPr id="12" name="Rectangle 45"/>
        <xdr:cNvSpPr>
          <a:spLocks/>
        </xdr:cNvSpPr>
      </xdr:nvSpPr>
      <xdr:spPr>
        <a:xfrm>
          <a:off x="8172450" y="28575"/>
          <a:ext cx="819150" cy="561975"/>
        </a:xfrm>
        <a:prstGeom prst="rect">
          <a:avLst/>
        </a:prstGeom>
        <a:solidFill>
          <a:srgbClr val="FFCC00"/>
        </a:solidFill>
        <a:ln w="19050" cmpd="sng">
          <a:solidFill>
            <a:srgbClr val="000000"/>
          </a:solidFill>
          <a:headEnd type="none"/>
          <a:tailEnd type="none"/>
        </a:ln>
      </xdr:spPr>
      <xdr:txBody>
        <a:bodyPr vertOverflow="clip" wrap="square" lIns="27432" tIns="22860" rIns="27432" bIns="22860" anchor="ctr"/>
        <a:p>
          <a:pPr algn="ctr">
            <a:defRPr/>
          </a:pPr>
          <a:r>
            <a:rPr lang="en-US" cap="none" sz="1200" b="0" i="0" u="none" baseline="0">
              <a:solidFill>
                <a:srgbClr val="000000"/>
              </a:solidFill>
              <a:latin typeface="Arial"/>
              <a:ea typeface="Arial"/>
              <a:cs typeface="Arial"/>
            </a:rPr>
            <a:t>PAGE 
9 of 14</a:t>
          </a:r>
        </a:p>
      </xdr:txBody>
    </xdr:sp>
    <xdr:clientData/>
  </xdr:twoCellAnchor>
  <xdr:oneCellAnchor>
    <xdr:from>
      <xdr:col>3</xdr:col>
      <xdr:colOff>285750</xdr:colOff>
      <xdr:row>27</xdr:row>
      <xdr:rowOff>114300</xdr:rowOff>
    </xdr:from>
    <xdr:ext cx="57150" cy="180975"/>
    <xdr:sp>
      <xdr:nvSpPr>
        <xdr:cNvPr id="13" name="TextBox 129"/>
        <xdr:cNvSpPr txBox="1">
          <a:spLocks noChangeArrowheads="1"/>
        </xdr:cNvSpPr>
      </xdr:nvSpPr>
      <xdr:spPr>
        <a:xfrm>
          <a:off x="2124075" y="4514850"/>
          <a:ext cx="57150" cy="180975"/>
        </a:xfrm>
        <a:prstGeom prst="rect">
          <a:avLst/>
        </a:prstGeom>
        <a:noFill/>
        <a:ln w="19050" cmpd="sng">
          <a:noFill/>
        </a:ln>
      </xdr:spPr>
      <xdr:txBody>
        <a:bodyPr vertOverflow="clip" wrap="square" lIns="27432" tIns="22860" rIns="27432" bIns="0">
          <a:spAutoFit/>
        </a:bodyPr>
        <a:p>
          <a:pPr algn="l">
            <a:defRPr/>
          </a:pPr>
          <a:r>
            <a:rPr lang="en-US" cap="none" u="none" baseline="0">
              <a:latin typeface="Arial"/>
              <a:ea typeface="Arial"/>
              <a:cs typeface="Arial"/>
            </a:rPr>
            <a:t/>
          </a:r>
        </a:p>
      </xdr:txBody>
    </xdr:sp>
    <xdr:clientData/>
  </xdr:oneCellAnchor>
  <xdr:twoCellAnchor>
    <xdr:from>
      <xdr:col>5</xdr:col>
      <xdr:colOff>9525</xdr:colOff>
      <xdr:row>19</xdr:row>
      <xdr:rowOff>114300</xdr:rowOff>
    </xdr:from>
    <xdr:to>
      <xdr:col>16</xdr:col>
      <xdr:colOff>200025</xdr:colOff>
      <xdr:row>31</xdr:row>
      <xdr:rowOff>28575</xdr:rowOff>
    </xdr:to>
    <xdr:sp>
      <xdr:nvSpPr>
        <xdr:cNvPr id="14" name="TextBox 130"/>
        <xdr:cNvSpPr txBox="1">
          <a:spLocks noChangeArrowheads="1"/>
        </xdr:cNvSpPr>
      </xdr:nvSpPr>
      <xdr:spPr>
        <a:xfrm>
          <a:off x="2657475" y="3219450"/>
          <a:ext cx="5886450" cy="1857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Validation and comparisons: In a study (CDC, unpublished) measuring secondary attack rates in households in CA and TX, those under 18 years of age had approximately twice the attack rate of those over 18 as measured by influenza-like illness (ILI). From the same study, using lab confirmed cases of influenza only, those under 18 had approximately 3.8 times the attack rate of over 18.  In another study (CDC, unpublished), as measured by a survey (BRFSS) covering 10 states in the Spring, 2009, the ILI attack rate among those 18-64 years was approximately 5%, when the overall attack rate (ILI) was 4.7%. </a:t>
          </a:r>
        </a:p>
      </xdr:txBody>
    </xdr:sp>
    <xdr:clientData/>
  </xdr:twoCellAnchor>
  <xdr:twoCellAnchor>
    <xdr:from>
      <xdr:col>0</xdr:col>
      <xdr:colOff>438150</xdr:colOff>
      <xdr:row>16</xdr:row>
      <xdr:rowOff>76200</xdr:rowOff>
    </xdr:from>
    <xdr:to>
      <xdr:col>8</xdr:col>
      <xdr:colOff>66675</xdr:colOff>
      <xdr:row>16</xdr:row>
      <xdr:rowOff>76200</xdr:rowOff>
    </xdr:to>
    <xdr:sp>
      <xdr:nvSpPr>
        <xdr:cNvPr id="15" name="Line 131"/>
        <xdr:cNvSpPr>
          <a:spLocks/>
        </xdr:cNvSpPr>
      </xdr:nvSpPr>
      <xdr:spPr>
        <a:xfrm>
          <a:off x="438150" y="2638425"/>
          <a:ext cx="3743325" cy="0"/>
        </a:xfrm>
        <a:prstGeom prst="line">
          <a:avLst/>
        </a:prstGeom>
        <a:noFill/>
        <a:ln w="19050" cmpd="sng">
          <a:solidFill>
            <a:srgbClr val="000000"/>
          </a:solidFill>
          <a:headEnd type="none"/>
          <a:tailEnd type="none"/>
        </a:ln>
      </xdr:spPr>
      <xdr:txBody>
        <a:bodyPr vertOverflow="clip" wrap="square" lIns="27432" tIns="22860" rIns="27432"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se7@cdc.gov" TargetMode="External" /><Relationship Id="rId2" Type="http://schemas.openxmlformats.org/officeDocument/2006/relationships/hyperlink" Target="mailto:gyq5@cdc.gov"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57"/>
    <pageSetUpPr fitToPage="1"/>
  </sheetPr>
  <dimension ref="A3:L31"/>
  <sheetViews>
    <sheetView showRowColHeaders="0" tabSelected="1" zoomScalePageLayoutView="0" workbookViewId="0" topLeftCell="A1">
      <selection activeCell="D9" sqref="D9:L13"/>
    </sheetView>
  </sheetViews>
  <sheetFormatPr defaultColWidth="9.140625" defaultRowHeight="12.75"/>
  <cols>
    <col min="1" max="1" width="9.421875" style="1" bestFit="1" customWidth="1"/>
    <col min="2" max="16384" width="9.140625" style="1" customWidth="1"/>
  </cols>
  <sheetData>
    <row r="3" spans="4:12" ht="12.75" customHeight="1">
      <c r="D3" s="2"/>
      <c r="E3" s="2"/>
      <c r="F3" s="2"/>
      <c r="G3" s="2"/>
      <c r="H3" s="2"/>
      <c r="I3" s="2"/>
      <c r="J3" s="2"/>
      <c r="K3" s="2"/>
      <c r="L3" s="2"/>
    </row>
    <row r="4" spans="4:12" ht="12.75" customHeight="1">
      <c r="D4" s="2"/>
      <c r="E4" s="2"/>
      <c r="F4" s="2"/>
      <c r="G4" s="2"/>
      <c r="H4" s="2"/>
      <c r="I4" s="2"/>
      <c r="J4" s="2"/>
      <c r="K4" s="2"/>
      <c r="L4" s="2"/>
    </row>
    <row r="5" spans="4:12" ht="12.75" customHeight="1">
      <c r="D5" s="2"/>
      <c r="E5" s="2"/>
      <c r="F5" s="2"/>
      <c r="G5" s="2"/>
      <c r="H5" s="2"/>
      <c r="I5" s="2"/>
      <c r="J5" s="2"/>
      <c r="K5" s="2"/>
      <c r="L5" s="2"/>
    </row>
    <row r="6" spans="4:12" ht="12.75" customHeight="1">
      <c r="D6" s="2"/>
      <c r="E6" s="2"/>
      <c r="F6" s="2"/>
      <c r="G6" s="2"/>
      <c r="H6" s="2"/>
      <c r="I6" s="2"/>
      <c r="J6" s="2"/>
      <c r="K6" s="2"/>
      <c r="L6" s="2"/>
    </row>
    <row r="9" spans="4:12" ht="18.75" customHeight="1">
      <c r="D9" s="359" t="s">
        <v>308</v>
      </c>
      <c r="E9" s="359"/>
      <c r="F9" s="359"/>
      <c r="G9" s="359"/>
      <c r="H9" s="359"/>
      <c r="I9" s="359"/>
      <c r="J9" s="359"/>
      <c r="K9" s="359"/>
      <c r="L9" s="359"/>
    </row>
    <row r="10" spans="4:12" ht="12.75">
      <c r="D10" s="359"/>
      <c r="E10" s="359"/>
      <c r="F10" s="359"/>
      <c r="G10" s="359"/>
      <c r="H10" s="359"/>
      <c r="I10" s="359"/>
      <c r="J10" s="359"/>
      <c r="K10" s="359"/>
      <c r="L10" s="359"/>
    </row>
    <row r="11" spans="4:12" ht="12.75">
      <c r="D11" s="359"/>
      <c r="E11" s="359"/>
      <c r="F11" s="359"/>
      <c r="G11" s="359"/>
      <c r="H11" s="359"/>
      <c r="I11" s="359"/>
      <c r="J11" s="359"/>
      <c r="K11" s="359"/>
      <c r="L11" s="359"/>
    </row>
    <row r="12" spans="4:12" ht="12.75">
      <c r="D12" s="359"/>
      <c r="E12" s="359"/>
      <c r="F12" s="359"/>
      <c r="G12" s="359"/>
      <c r="H12" s="359"/>
      <c r="I12" s="359"/>
      <c r="J12" s="359"/>
      <c r="K12" s="359"/>
      <c r="L12" s="359"/>
    </row>
    <row r="13" spans="4:12" ht="12.75">
      <c r="D13" s="359"/>
      <c r="E13" s="359"/>
      <c r="F13" s="359"/>
      <c r="G13" s="359"/>
      <c r="H13" s="359"/>
      <c r="I13" s="359"/>
      <c r="J13" s="359"/>
      <c r="K13" s="359"/>
      <c r="L13" s="359"/>
    </row>
    <row r="15" ht="18">
      <c r="D15" s="3" t="s">
        <v>5</v>
      </c>
    </row>
    <row r="16" ht="18">
      <c r="D16" s="3" t="s">
        <v>0</v>
      </c>
    </row>
    <row r="17" ht="6" customHeight="1"/>
    <row r="18" ht="18">
      <c r="D18" s="3" t="s">
        <v>3</v>
      </c>
    </row>
    <row r="19" ht="18">
      <c r="D19" s="4" t="s">
        <v>1</v>
      </c>
    </row>
    <row r="20" ht="2.25" customHeight="1"/>
    <row r="21" ht="18">
      <c r="D21" s="3" t="s">
        <v>2</v>
      </c>
    </row>
    <row r="22" ht="18">
      <c r="D22" s="4" t="s">
        <v>4</v>
      </c>
    </row>
    <row r="23" ht="12.75"/>
    <row r="24" ht="12.75"/>
    <row r="25" ht="12.75"/>
    <row r="26" ht="12.75">
      <c r="A26" s="16"/>
    </row>
    <row r="27" ht="12.75"/>
    <row r="28" ht="12.75"/>
    <row r="29" ht="12.75"/>
    <row r="31" ht="12.75">
      <c r="D31" s="1" t="s">
        <v>315</v>
      </c>
    </row>
  </sheetData>
  <sheetProtection/>
  <mergeCells count="1">
    <mergeCell ref="D9:L13"/>
  </mergeCells>
  <hyperlinks>
    <hyperlink ref="D19" r:id="rId1" display="hse7@cdc.gov"/>
    <hyperlink ref="D22" r:id="rId2" display="gyq5@cdc.gov"/>
  </hyperlinks>
  <printOptions/>
  <pageMargins left="0.75" right="0.75" top="1" bottom="1" header="0.5" footer="0.5"/>
  <pageSetup fitToHeight="1" fitToWidth="1" horizontalDpi="600" verticalDpi="600" orientation="landscape" r:id="rId5"/>
  <drawing r:id="rId4"/>
  <legacyDrawing r:id="rId3"/>
</worksheet>
</file>

<file path=xl/worksheets/sheet10.xml><?xml version="1.0" encoding="utf-8"?>
<worksheet xmlns="http://schemas.openxmlformats.org/spreadsheetml/2006/main" xmlns:r="http://schemas.openxmlformats.org/officeDocument/2006/relationships">
  <sheetPr codeName="Sheet9">
    <tabColor indexed="57"/>
    <pageSetUpPr fitToPage="1"/>
  </sheetPr>
  <dimension ref="B5:K37"/>
  <sheetViews>
    <sheetView showRowColHeaders="0" zoomScalePageLayoutView="0" workbookViewId="0" topLeftCell="A1">
      <selection activeCell="C10" sqref="C10"/>
    </sheetView>
  </sheetViews>
  <sheetFormatPr defaultColWidth="9.140625" defaultRowHeight="12.75"/>
  <cols>
    <col min="1" max="1" width="2.00390625" style="5" customWidth="1"/>
    <col min="2" max="2" width="12.28125" style="5" customWidth="1"/>
    <col min="3" max="3" width="13.00390625" style="5" customWidth="1"/>
    <col min="4" max="4" width="9.140625" style="5" customWidth="1"/>
    <col min="5" max="5" width="12.8515625" style="5" bestFit="1" customWidth="1"/>
    <col min="6" max="6" width="9.140625" style="5" customWidth="1"/>
    <col min="7" max="7" width="12.140625" style="5" customWidth="1"/>
    <col min="8" max="16384" width="9.140625" style="5" customWidth="1"/>
  </cols>
  <sheetData>
    <row r="1" s="1" customFormat="1" ht="12.75"/>
    <row r="2" s="1" customFormat="1" ht="12.75"/>
    <row r="3" s="1" customFormat="1" ht="12.75"/>
    <row r="4" s="1" customFormat="1" ht="12.75"/>
    <row r="5" spans="4:11" ht="12.75" customHeight="1">
      <c r="D5" s="350" t="s">
        <v>227</v>
      </c>
      <c r="E5" s="350"/>
      <c r="F5" s="350"/>
      <c r="G5" s="350"/>
      <c r="H5" s="350"/>
      <c r="I5" s="350"/>
      <c r="J5" s="289"/>
      <c r="K5" s="289"/>
    </row>
    <row r="6" spans="4:11" ht="12.75" customHeight="1">
      <c r="D6" s="350"/>
      <c r="E6" s="350"/>
      <c r="F6" s="350"/>
      <c r="G6" s="350"/>
      <c r="H6" s="350"/>
      <c r="I6" s="350"/>
      <c r="J6" s="289"/>
      <c r="K6" s="289"/>
    </row>
    <row r="7" spans="4:11" ht="12.75" customHeight="1">
      <c r="D7" s="350"/>
      <c r="E7" s="350"/>
      <c r="F7" s="350"/>
      <c r="G7" s="350"/>
      <c r="H7" s="350"/>
      <c r="I7" s="350"/>
      <c r="J7" s="289"/>
      <c r="K7" s="289"/>
    </row>
    <row r="8" spans="4:11" ht="12.75" customHeight="1">
      <c r="D8" s="350"/>
      <c r="E8" s="350"/>
      <c r="F8" s="350"/>
      <c r="G8" s="350"/>
      <c r="H8" s="350"/>
      <c r="I8" s="350"/>
      <c r="J8" s="289"/>
      <c r="K8" s="289"/>
    </row>
    <row r="9" ht="9" customHeight="1" thickBot="1"/>
    <row r="10" spans="2:10" ht="13.5" thickTop="1">
      <c r="B10" s="196" t="s">
        <v>36</v>
      </c>
      <c r="C10" s="154">
        <f>Main_Sheet!C9</f>
        <v>0</v>
      </c>
      <c r="D10" s="154"/>
      <c r="E10" s="154"/>
      <c r="F10" s="154"/>
      <c r="G10" s="197" t="s">
        <v>33</v>
      </c>
      <c r="H10" s="154"/>
      <c r="I10" s="154"/>
      <c r="J10" s="155"/>
    </row>
    <row r="11" spans="2:10" ht="12.75">
      <c r="B11" s="156"/>
      <c r="C11" s="157"/>
      <c r="D11" s="157"/>
      <c r="E11" s="157"/>
      <c r="F11" s="157"/>
      <c r="G11" s="157"/>
      <c r="H11" s="157"/>
      <c r="I11" s="157"/>
      <c r="J11" s="158"/>
    </row>
    <row r="12" spans="2:10" ht="12.75">
      <c r="B12" s="169" t="s">
        <v>38</v>
      </c>
      <c r="C12" s="351">
        <f>Main_Sheet!C11</f>
        <v>0</v>
      </c>
      <c r="D12" s="351"/>
      <c r="E12" s="351"/>
      <c r="F12" s="351"/>
      <c r="G12" s="351"/>
      <c r="H12" s="351"/>
      <c r="I12" s="351"/>
      <c r="J12" s="158"/>
    </row>
    <row r="13" spans="2:10" ht="12.75">
      <c r="B13" s="156"/>
      <c r="C13" s="157"/>
      <c r="D13" s="157"/>
      <c r="E13" s="157"/>
      <c r="F13" s="157"/>
      <c r="G13" s="157"/>
      <c r="H13" s="157"/>
      <c r="I13" s="157"/>
      <c r="J13" s="158"/>
    </row>
    <row r="14" spans="2:10" ht="12.75">
      <c r="B14" s="169" t="s">
        <v>37</v>
      </c>
      <c r="C14" s="390">
        <f>Main_Sheet!C13</f>
        <v>0</v>
      </c>
      <c r="D14" s="390"/>
      <c r="E14" s="170" t="s">
        <v>34</v>
      </c>
      <c r="F14" s="391" t="str">
        <f>Main_Sheet!H13</f>
        <v>United States (50 states and District of Columbia)</v>
      </c>
      <c r="G14" s="391"/>
      <c r="H14" s="170" t="s">
        <v>35</v>
      </c>
      <c r="I14" s="157">
        <f>Main_Sheet!C15</f>
        <v>0</v>
      </c>
      <c r="J14" s="158"/>
    </row>
    <row r="15" spans="2:10" ht="13.5" thickBot="1">
      <c r="B15" s="163"/>
      <c r="C15" s="164"/>
      <c r="D15" s="164"/>
      <c r="E15" s="164"/>
      <c r="F15" s="392"/>
      <c r="G15" s="392"/>
      <c r="H15" s="164"/>
      <c r="I15" s="164"/>
      <c r="J15" s="165"/>
    </row>
    <row r="16" ht="6.75" customHeight="1" thickTop="1"/>
    <row r="17" ht="6.75" customHeight="1" thickBot="1"/>
    <row r="18" spans="2:6" ht="13.5" thickTop="1">
      <c r="B18" s="198" t="s">
        <v>90</v>
      </c>
      <c r="C18" s="154"/>
      <c r="D18" s="154"/>
      <c r="E18" s="154"/>
      <c r="F18" s="155"/>
    </row>
    <row r="19" spans="2:6" ht="12.75">
      <c r="B19" s="156"/>
      <c r="C19" s="199" t="s">
        <v>91</v>
      </c>
      <c r="D19" s="157"/>
      <c r="E19" s="199" t="s">
        <v>92</v>
      </c>
      <c r="F19" s="158"/>
    </row>
    <row r="20" spans="2:6" ht="12.75">
      <c r="B20" s="156"/>
      <c r="C20" s="157"/>
      <c r="D20" s="157"/>
      <c r="E20" s="157"/>
      <c r="F20" s="158"/>
    </row>
    <row r="21" spans="2:6" ht="12.75">
      <c r="B21" s="156" t="str">
        <f>Population!$B$11</f>
        <v>0-17 Years</v>
      </c>
      <c r="C21" s="200">
        <f>Population!$D$11</f>
        <v>82640086</v>
      </c>
      <c r="D21" s="201"/>
      <c r="E21" s="201">
        <f>'data entry'!C9</f>
        <v>82640086</v>
      </c>
      <c r="F21" s="202"/>
    </row>
    <row r="22" spans="2:6" ht="12.75">
      <c r="B22" s="156"/>
      <c r="C22" s="200"/>
      <c r="D22" s="201"/>
      <c r="E22" s="201"/>
      <c r="F22" s="202"/>
    </row>
    <row r="23" spans="2:6" ht="12.75">
      <c r="B23" s="156" t="str">
        <f>Population!$B$14</f>
        <v>18-64 Years</v>
      </c>
      <c r="C23" s="200">
        <f>Population!$D$14</f>
        <v>182549922</v>
      </c>
      <c r="D23" s="201"/>
      <c r="E23" s="201">
        <f>'data entry'!D9</f>
        <v>182549922</v>
      </c>
      <c r="F23" s="202"/>
    </row>
    <row r="24" spans="2:6" ht="12.75">
      <c r="B24" s="156"/>
      <c r="C24" s="200"/>
      <c r="D24" s="201"/>
      <c r="E24" s="201"/>
      <c r="F24" s="202"/>
    </row>
    <row r="25" spans="2:6" ht="12.75">
      <c r="B25" s="156" t="str">
        <f>Population!$B$17</f>
        <v>65+ Years</v>
      </c>
      <c r="C25" s="200">
        <f>Population!$D$17</f>
        <v>38869716</v>
      </c>
      <c r="D25" s="201"/>
      <c r="E25" s="201">
        <f>'data entry'!E9</f>
        <v>38869716</v>
      </c>
      <c r="F25" s="202"/>
    </row>
    <row r="26" spans="2:6" ht="13.5" thickBot="1">
      <c r="B26" s="163"/>
      <c r="C26" s="203"/>
      <c r="D26" s="203"/>
      <c r="E26" s="203"/>
      <c r="F26" s="204"/>
    </row>
    <row r="27" ht="6.75" customHeight="1" thickTop="1"/>
    <row r="28" ht="6.75" customHeight="1" thickBot="1"/>
    <row r="29" spans="2:6" ht="13.5" thickTop="1">
      <c r="B29" s="198" t="s">
        <v>93</v>
      </c>
      <c r="C29" s="154"/>
      <c r="D29" s="154"/>
      <c r="E29" s="154"/>
      <c r="F29" s="155"/>
    </row>
    <row r="30" spans="2:6" ht="12.75">
      <c r="B30" s="205"/>
      <c r="C30" s="199" t="str">
        <f>C19</f>
        <v>You Entered</v>
      </c>
      <c r="D30" s="157"/>
      <c r="E30" s="199" t="str">
        <f>E19</f>
        <v>Default Values</v>
      </c>
      <c r="F30" s="158"/>
    </row>
    <row r="31" spans="2:6" ht="12.75">
      <c r="B31" s="156"/>
      <c r="C31" s="157"/>
      <c r="D31" s="157"/>
      <c r="E31" s="157"/>
      <c r="F31" s="158"/>
    </row>
    <row r="32" spans="2:6" ht="12.75">
      <c r="B32" s="156" t="str">
        <f>B21</f>
        <v>0-17 Years</v>
      </c>
      <c r="C32" s="206">
        <f>HighRisk_Age!$D$11</f>
        <v>0.08807588075880757</v>
      </c>
      <c r="D32" s="207"/>
      <c r="E32" s="207">
        <f>'data entry'!C14</f>
        <v>0.08807588075880757</v>
      </c>
      <c r="F32" s="208"/>
    </row>
    <row r="33" spans="2:6" ht="12.75">
      <c r="B33" s="156"/>
      <c r="C33" s="206"/>
      <c r="D33" s="207"/>
      <c r="E33" s="207"/>
      <c r="F33" s="208"/>
    </row>
    <row r="34" spans="2:6" ht="12.75">
      <c r="B34" s="156" t="str">
        <f>B23</f>
        <v>18-64 Years</v>
      </c>
      <c r="C34" s="206">
        <f>HighRisk_Age!$D$14</f>
        <v>0.17477284874398719</v>
      </c>
      <c r="D34" s="207"/>
      <c r="E34" s="207">
        <f>'data entry'!D14</f>
        <v>0.17477284874398719</v>
      </c>
      <c r="F34" s="208"/>
    </row>
    <row r="35" spans="2:6" ht="12.75">
      <c r="B35" s="156"/>
      <c r="C35" s="206"/>
      <c r="D35" s="207"/>
      <c r="E35" s="207"/>
      <c r="F35" s="208"/>
    </row>
    <row r="36" spans="2:6" ht="12.75">
      <c r="B36" s="156" t="str">
        <f>B25</f>
        <v>65+ Years</v>
      </c>
      <c r="C36" s="206">
        <f>HighRisk_Age!$D$17</f>
        <v>0.4917127071823204</v>
      </c>
      <c r="D36" s="207"/>
      <c r="E36" s="207">
        <f>'data entry'!E14</f>
        <v>0.4917127071823204</v>
      </c>
      <c r="F36" s="208"/>
    </row>
    <row r="37" spans="2:6" ht="13.5" thickBot="1">
      <c r="B37" s="163"/>
      <c r="C37" s="209"/>
      <c r="D37" s="209"/>
      <c r="E37" s="209"/>
      <c r="F37" s="210"/>
    </row>
    <row r="38" ht="13.5" thickTop="1"/>
  </sheetData>
  <sheetProtection/>
  <mergeCells count="4">
    <mergeCell ref="D5:I8"/>
    <mergeCell ref="C12:I12"/>
    <mergeCell ref="C14:D14"/>
    <mergeCell ref="F14:G15"/>
  </mergeCells>
  <printOptions/>
  <pageMargins left="0.75" right="0.75" top="1" bottom="1" header="0.5" footer="0.5"/>
  <pageSetup fitToHeight="1" fitToWidth="1" horizontalDpi="600" verticalDpi="600" orientation="landscape" r:id="rId3"/>
  <drawing r:id="rId2"/>
  <legacyDrawing r:id="rId1"/>
</worksheet>
</file>

<file path=xl/worksheets/sheet11.xml><?xml version="1.0" encoding="utf-8"?>
<worksheet xmlns="http://schemas.openxmlformats.org/spreadsheetml/2006/main" xmlns:r="http://schemas.openxmlformats.org/officeDocument/2006/relationships">
  <sheetPr codeName="Sheet10">
    <tabColor indexed="57"/>
    <pageSetUpPr fitToPage="1"/>
  </sheetPr>
  <dimension ref="B7:N53"/>
  <sheetViews>
    <sheetView showRowColHeaders="0" zoomScalePageLayoutView="0" workbookViewId="0" topLeftCell="A1">
      <selection activeCell="P60" sqref="P60"/>
    </sheetView>
  </sheetViews>
  <sheetFormatPr defaultColWidth="9.140625" defaultRowHeight="12.75"/>
  <cols>
    <col min="1" max="1" width="3.421875" style="5" customWidth="1"/>
    <col min="2" max="4" width="9.140625" style="5" customWidth="1"/>
    <col min="5" max="5" width="3.8515625" style="5" customWidth="1"/>
    <col min="6" max="6" width="9.140625" style="5" customWidth="1"/>
    <col min="7" max="7" width="5.140625" style="5" customWidth="1"/>
    <col min="8" max="8" width="9.140625" style="5" customWidth="1"/>
    <col min="9" max="9" width="14.28125" style="5" customWidth="1"/>
    <col min="10" max="10" width="12.421875" style="5" bestFit="1" customWidth="1"/>
    <col min="11" max="11" width="3.7109375" style="5" customWidth="1"/>
    <col min="12" max="12" width="12.421875" style="5" bestFit="1" customWidth="1"/>
    <col min="13" max="13" width="4.7109375" style="5" customWidth="1"/>
    <col min="14" max="14" width="12.421875" style="5" bestFit="1" customWidth="1"/>
    <col min="15" max="16384" width="9.140625" style="5" customWidth="1"/>
  </cols>
  <sheetData>
    <row r="1" s="1" customFormat="1" ht="12.75"/>
    <row r="2" s="1" customFormat="1" ht="12.75"/>
    <row r="3" s="1" customFormat="1" ht="12.75"/>
    <row r="4" s="1" customFormat="1" ht="12.75"/>
    <row r="7" spans="5:10" ht="12.75">
      <c r="E7" s="350" t="s">
        <v>227</v>
      </c>
      <c r="F7" s="350"/>
      <c r="G7" s="350"/>
      <c r="H7" s="350"/>
      <c r="I7" s="350"/>
      <c r="J7" s="350"/>
    </row>
    <row r="8" spans="5:10" ht="12.75">
      <c r="E8" s="350"/>
      <c r="F8" s="350"/>
      <c r="G8" s="350"/>
      <c r="H8" s="350"/>
      <c r="I8" s="350"/>
      <c r="J8" s="350"/>
    </row>
    <row r="9" ht="13.5" thickBot="1"/>
    <row r="10" spans="2:14" ht="16.5" thickTop="1">
      <c r="B10" s="175" t="s">
        <v>94</v>
      </c>
      <c r="C10" s="154"/>
      <c r="D10" s="154"/>
      <c r="E10" s="154"/>
      <c r="F10" s="154"/>
      <c r="G10" s="154"/>
      <c r="H10" s="154"/>
      <c r="I10" s="299"/>
      <c r="J10" s="154"/>
      <c r="K10" s="154"/>
      <c r="L10" s="154"/>
      <c r="M10" s="154"/>
      <c r="N10" s="155"/>
    </row>
    <row r="11" spans="2:14" ht="12.75">
      <c r="B11" s="156"/>
      <c r="C11" s="157"/>
      <c r="D11" s="157"/>
      <c r="E11" s="157"/>
      <c r="F11" s="157"/>
      <c r="G11" s="157"/>
      <c r="H11" s="157"/>
      <c r="I11" s="300"/>
      <c r="J11" s="157"/>
      <c r="K11" s="157"/>
      <c r="L11" s="157"/>
      <c r="M11" s="157"/>
      <c r="N11" s="158"/>
    </row>
    <row r="12" spans="2:14" ht="15">
      <c r="B12" s="176" t="s">
        <v>19</v>
      </c>
      <c r="C12" s="157"/>
      <c r="D12" s="157"/>
      <c r="E12" s="157"/>
      <c r="F12" s="157"/>
      <c r="G12" s="157"/>
      <c r="H12" s="157"/>
      <c r="I12" s="300"/>
      <c r="J12" s="157"/>
      <c r="K12" s="157"/>
      <c r="L12" s="157"/>
      <c r="M12" s="157"/>
      <c r="N12" s="158"/>
    </row>
    <row r="13" spans="2:14" ht="12.75">
      <c r="B13" s="156"/>
      <c r="C13" s="157"/>
      <c r="D13" s="393" t="s">
        <v>91</v>
      </c>
      <c r="E13" s="393"/>
      <c r="F13" s="393"/>
      <c r="G13" s="393"/>
      <c r="H13" s="393"/>
      <c r="I13" s="308"/>
      <c r="J13" s="393" t="s">
        <v>92</v>
      </c>
      <c r="K13" s="393"/>
      <c r="L13" s="393"/>
      <c r="M13" s="393"/>
      <c r="N13" s="394"/>
    </row>
    <row r="14" spans="2:14" ht="12.75">
      <c r="B14" s="156"/>
      <c r="C14" s="157"/>
      <c r="D14" s="192" t="s">
        <v>291</v>
      </c>
      <c r="E14" s="193"/>
      <c r="F14" s="192" t="s">
        <v>22</v>
      </c>
      <c r="G14" s="193"/>
      <c r="H14" s="194" t="s">
        <v>292</v>
      </c>
      <c r="I14" s="309"/>
      <c r="J14" s="192" t="s">
        <v>291</v>
      </c>
      <c r="K14" s="193"/>
      <c r="L14" s="192" t="s">
        <v>22</v>
      </c>
      <c r="M14" s="193"/>
      <c r="N14" s="352" t="s">
        <v>292</v>
      </c>
    </row>
    <row r="15" spans="2:14" ht="12.75">
      <c r="B15" s="156"/>
      <c r="C15" s="157"/>
      <c r="D15" s="191"/>
      <c r="E15" s="191"/>
      <c r="F15" s="191"/>
      <c r="G15" s="191"/>
      <c r="H15" s="191"/>
      <c r="I15" s="308"/>
      <c r="J15" s="191"/>
      <c r="K15" s="191"/>
      <c r="L15" s="191"/>
      <c r="M15" s="191"/>
      <c r="N15" s="195"/>
    </row>
    <row r="16" spans="2:14" ht="12.75">
      <c r="B16" s="156" t="str">
        <f>RESULTS!B21</f>
        <v>0-17 Years</v>
      </c>
      <c r="C16" s="157"/>
      <c r="D16" s="178">
        <f>Deaths!B12</f>
        <v>0.00039791306646055067</v>
      </c>
      <c r="E16" s="178"/>
      <c r="F16" s="178">
        <f>Deaths!D12</f>
        <v>0.0004817525603660583</v>
      </c>
      <c r="G16" s="178"/>
      <c r="H16" s="178">
        <f>Deaths!G12</f>
        <v>0.0005413919795805678</v>
      </c>
      <c r="I16" s="302"/>
      <c r="J16" s="178">
        <f>'data entry'!C27</f>
        <v>0.00039791306646055067</v>
      </c>
      <c r="K16" s="178"/>
      <c r="L16" s="178">
        <f>'data entry'!D27</f>
        <v>0.0004817525603660583</v>
      </c>
      <c r="M16" s="178"/>
      <c r="N16" s="247">
        <f>'data entry'!E27</f>
        <v>0.0005413919795805678</v>
      </c>
    </row>
    <row r="17" spans="2:14" ht="12.75">
      <c r="B17" s="156"/>
      <c r="C17" s="157"/>
      <c r="D17" s="178"/>
      <c r="E17" s="178"/>
      <c r="F17" s="178"/>
      <c r="G17" s="178"/>
      <c r="H17" s="178"/>
      <c r="I17" s="302"/>
      <c r="J17" s="178"/>
      <c r="K17" s="178"/>
      <c r="L17" s="178"/>
      <c r="M17" s="178"/>
      <c r="N17" s="247"/>
    </row>
    <row r="18" spans="2:14" ht="12.75">
      <c r="B18" s="156" t="str">
        <f>RESULTS!B23</f>
        <v>18-64 Years</v>
      </c>
      <c r="C18" s="157"/>
      <c r="D18" s="178">
        <f>Deaths!B14</f>
        <v>0.0016959625413596885</v>
      </c>
      <c r="E18" s="178"/>
      <c r="F18" s="178">
        <f>Deaths!D14</f>
        <v>0.002053298070747229</v>
      </c>
      <c r="G18" s="178"/>
      <c r="H18" s="178">
        <f>Deaths!G14</f>
        <v>0.0023074891581277897</v>
      </c>
      <c r="I18" s="302"/>
      <c r="J18" s="178">
        <f>'data entry'!C28</f>
        <v>0.0016959625413596885</v>
      </c>
      <c r="K18" s="178"/>
      <c r="L18" s="178">
        <f>'data entry'!D28</f>
        <v>0.002053298070747229</v>
      </c>
      <c r="M18" s="178"/>
      <c r="N18" s="247">
        <f>'data entry'!E28</f>
        <v>0.0023074891581277897</v>
      </c>
    </row>
    <row r="19" spans="2:14" ht="12.75">
      <c r="B19" s="156"/>
      <c r="C19" s="157"/>
      <c r="D19" s="178"/>
      <c r="E19" s="178"/>
      <c r="F19" s="178"/>
      <c r="G19" s="178"/>
      <c r="H19" s="178"/>
      <c r="I19" s="302"/>
      <c r="J19" s="178"/>
      <c r="K19" s="178"/>
      <c r="L19" s="178"/>
      <c r="M19" s="178"/>
      <c r="N19" s="247"/>
    </row>
    <row r="20" spans="2:14" ht="12.75">
      <c r="B20" s="156" t="str">
        <f>RESULTS!B25</f>
        <v>65+ Years</v>
      </c>
      <c r="C20" s="157"/>
      <c r="D20" s="178">
        <f>Deaths!B16</f>
        <v>0.0024974803484200826</v>
      </c>
      <c r="E20" s="178"/>
      <c r="F20" s="178">
        <f>Deaths!D16</f>
        <v>0.003023703004791726</v>
      </c>
      <c r="G20" s="178"/>
      <c r="H20" s="178">
        <f>Deaths!G16</f>
        <v>0.003397980093119174</v>
      </c>
      <c r="I20" s="302"/>
      <c r="J20" s="178">
        <f>'data entry'!C29</f>
        <v>0.0024974803484200826</v>
      </c>
      <c r="K20" s="178"/>
      <c r="L20" s="178">
        <f>'data entry'!D29</f>
        <v>0.003023703004791726</v>
      </c>
      <c r="M20" s="178"/>
      <c r="N20" s="247">
        <f>'data entry'!E29</f>
        <v>0.003397980093119174</v>
      </c>
    </row>
    <row r="21" spans="2:14" ht="12.75">
      <c r="B21" s="156"/>
      <c r="C21" s="157"/>
      <c r="D21" s="178"/>
      <c r="E21" s="178"/>
      <c r="F21" s="178"/>
      <c r="G21" s="178"/>
      <c r="H21" s="178"/>
      <c r="I21" s="302"/>
      <c r="J21" s="178"/>
      <c r="K21" s="178"/>
      <c r="L21" s="178"/>
      <c r="M21" s="178"/>
      <c r="N21" s="247"/>
    </row>
    <row r="22" spans="2:14" ht="15">
      <c r="B22" s="176" t="s">
        <v>25</v>
      </c>
      <c r="C22" s="157"/>
      <c r="D22" s="181"/>
      <c r="E22" s="181"/>
      <c r="F22" s="181"/>
      <c r="G22" s="181"/>
      <c r="H22" s="181"/>
      <c r="I22" s="304"/>
      <c r="J22" s="181"/>
      <c r="K22" s="181"/>
      <c r="L22" s="181"/>
      <c r="M22" s="181"/>
      <c r="N22" s="183"/>
    </row>
    <row r="23" spans="2:14" ht="12.75">
      <c r="B23" s="156"/>
      <c r="C23" s="157"/>
      <c r="D23" s="395" t="s">
        <v>91</v>
      </c>
      <c r="E23" s="395"/>
      <c r="F23" s="395"/>
      <c r="G23" s="395"/>
      <c r="H23" s="395"/>
      <c r="I23" s="304"/>
      <c r="J23" s="395" t="s">
        <v>92</v>
      </c>
      <c r="K23" s="395"/>
      <c r="L23" s="395"/>
      <c r="M23" s="395"/>
      <c r="N23" s="396"/>
    </row>
    <row r="24" spans="2:14" ht="12.75">
      <c r="B24" s="156"/>
      <c r="C24" s="157"/>
      <c r="D24" s="192" t="s">
        <v>291</v>
      </c>
      <c r="E24" s="193"/>
      <c r="F24" s="192" t="s">
        <v>22</v>
      </c>
      <c r="G24" s="193"/>
      <c r="H24" s="194" t="s">
        <v>292</v>
      </c>
      <c r="I24" s="303"/>
      <c r="J24" s="192" t="s">
        <v>291</v>
      </c>
      <c r="K24" s="193"/>
      <c r="L24" s="192" t="s">
        <v>22</v>
      </c>
      <c r="M24" s="193"/>
      <c r="N24" s="352" t="s">
        <v>292</v>
      </c>
    </row>
    <row r="25" spans="2:14" ht="12.75">
      <c r="B25" s="156"/>
      <c r="C25" s="157"/>
      <c r="D25" s="181"/>
      <c r="E25" s="181"/>
      <c r="F25" s="181"/>
      <c r="G25" s="181"/>
      <c r="H25" s="181"/>
      <c r="I25" s="304"/>
      <c r="J25" s="181"/>
      <c r="K25" s="181"/>
      <c r="L25" s="181"/>
      <c r="M25" s="181"/>
      <c r="N25" s="183"/>
    </row>
    <row r="26" spans="2:14" ht="12.75">
      <c r="B26" s="156" t="str">
        <f>B16</f>
        <v>0-17 Years</v>
      </c>
      <c r="C26" s="157"/>
      <c r="D26" s="178">
        <f>Deaths!B21</f>
        <v>2.6706583779116205E-05</v>
      </c>
      <c r="E26" s="178"/>
      <c r="F26" s="178">
        <f>Deaths!D21</f>
        <v>3.233360801308448E-05</v>
      </c>
      <c r="G26" s="178"/>
      <c r="H26" s="178">
        <f>Deaths!G21</f>
        <v>3.6336404804750124E-05</v>
      </c>
      <c r="I26" s="302"/>
      <c r="J26" s="178">
        <f>'data entry'!C32</f>
        <v>2.6706583779116205E-05</v>
      </c>
      <c r="K26" s="178"/>
      <c r="L26" s="178">
        <f>'data entry'!D32</f>
        <v>3.233360801308448E-05</v>
      </c>
      <c r="M26" s="178"/>
      <c r="N26" s="247">
        <f>'data entry'!E32</f>
        <v>3.6336404804750124E-05</v>
      </c>
    </row>
    <row r="27" spans="2:14" ht="12.75">
      <c r="B27" s="156"/>
      <c r="C27" s="157"/>
      <c r="D27" s="178"/>
      <c r="E27" s="178"/>
      <c r="F27" s="178"/>
      <c r="G27" s="178"/>
      <c r="H27" s="178"/>
      <c r="I27" s="302"/>
      <c r="J27" s="178"/>
      <c r="K27" s="178"/>
      <c r="L27" s="178"/>
      <c r="M27" s="178"/>
      <c r="N27" s="247"/>
    </row>
    <row r="28" spans="2:14" ht="12.75">
      <c r="B28" s="156" t="str">
        <f>B18</f>
        <v>18-64 Years</v>
      </c>
      <c r="C28" s="157"/>
      <c r="D28" s="178">
        <f>Deaths!B23</f>
        <v>8.42529846276126E-05</v>
      </c>
      <c r="E28" s="178"/>
      <c r="F28" s="178">
        <f>Deaths!D23</f>
        <v>0.000102004900799211</v>
      </c>
      <c r="G28" s="178"/>
      <c r="H28" s="178">
        <f>Deaths!G23</f>
        <v>0.00011463274914801982</v>
      </c>
      <c r="I28" s="302"/>
      <c r="J28" s="178">
        <f>'data entry'!C33</f>
        <v>8.42529846276126E-05</v>
      </c>
      <c r="K28" s="178"/>
      <c r="L28" s="178">
        <f>'data entry'!D33</f>
        <v>0.000102004900799211</v>
      </c>
      <c r="M28" s="178"/>
      <c r="N28" s="247">
        <f>'data entry'!E33</f>
        <v>0.00011463274914801982</v>
      </c>
    </row>
    <row r="29" spans="2:14" ht="12.75">
      <c r="B29" s="156"/>
      <c r="C29" s="157"/>
      <c r="D29" s="178"/>
      <c r="E29" s="178"/>
      <c r="F29" s="178"/>
      <c r="G29" s="178"/>
      <c r="H29" s="178"/>
      <c r="I29" s="302"/>
      <c r="J29" s="178"/>
      <c r="K29" s="178"/>
      <c r="L29" s="178"/>
      <c r="M29" s="178"/>
      <c r="N29" s="247"/>
    </row>
    <row r="30" spans="2:14" ht="13.5" thickBot="1">
      <c r="B30" s="163" t="str">
        <f>B20</f>
        <v>65+ Years</v>
      </c>
      <c r="C30" s="164"/>
      <c r="D30" s="248">
        <f>Deaths!B25</f>
        <v>0.0005667256131479275</v>
      </c>
      <c r="E30" s="248"/>
      <c r="F30" s="248">
        <f>Deaths!D25</f>
        <v>0.0006861355047105217</v>
      </c>
      <c r="G30" s="248"/>
      <c r="H30" s="248">
        <f>Deaths!G25</f>
        <v>0.0007710660678293773</v>
      </c>
      <c r="I30" s="310"/>
      <c r="J30" s="248">
        <f>'data entry'!C34</f>
        <v>0.0005667256131479275</v>
      </c>
      <c r="K30" s="248"/>
      <c r="L30" s="248">
        <f>'data entry'!D34</f>
        <v>0.0006861355047105217</v>
      </c>
      <c r="M30" s="248"/>
      <c r="N30" s="249">
        <f>'data entry'!E34</f>
        <v>0.0007710660678293773</v>
      </c>
    </row>
    <row r="31" spans="4:14" ht="13.5" thickTop="1">
      <c r="D31" s="288"/>
      <c r="E31" s="288"/>
      <c r="F31" s="288"/>
      <c r="G31" s="288"/>
      <c r="H31" s="288"/>
      <c r="I31" s="288"/>
      <c r="J31" s="288"/>
      <c r="K31" s="288"/>
      <c r="L31" s="288"/>
      <c r="M31" s="288"/>
      <c r="N31" s="288"/>
    </row>
    <row r="32" ht="13.5" thickBot="1"/>
    <row r="33" spans="2:14" ht="16.5" thickTop="1">
      <c r="B33" s="175" t="s">
        <v>95</v>
      </c>
      <c r="C33" s="154"/>
      <c r="D33" s="154"/>
      <c r="E33" s="154"/>
      <c r="F33" s="154"/>
      <c r="G33" s="154"/>
      <c r="H33" s="154"/>
      <c r="I33" s="299"/>
      <c r="J33" s="154"/>
      <c r="K33" s="154"/>
      <c r="L33" s="154"/>
      <c r="M33" s="154"/>
      <c r="N33" s="155"/>
    </row>
    <row r="34" spans="2:14" ht="12.75">
      <c r="B34" s="156"/>
      <c r="C34" s="157"/>
      <c r="D34" s="157"/>
      <c r="E34" s="157"/>
      <c r="F34" s="157"/>
      <c r="G34" s="157"/>
      <c r="H34" s="157"/>
      <c r="I34" s="300"/>
      <c r="J34" s="157"/>
      <c r="K34" s="157"/>
      <c r="L34" s="157"/>
      <c r="M34" s="157"/>
      <c r="N34" s="158"/>
    </row>
    <row r="35" spans="2:14" ht="15">
      <c r="B35" s="176" t="s">
        <v>19</v>
      </c>
      <c r="C35" s="157"/>
      <c r="D35" s="157"/>
      <c r="E35" s="157"/>
      <c r="F35" s="157"/>
      <c r="G35" s="157"/>
      <c r="H35" s="157"/>
      <c r="I35" s="300"/>
      <c r="J35" s="157"/>
      <c r="K35" s="157"/>
      <c r="L35" s="157"/>
      <c r="M35" s="157"/>
      <c r="N35" s="158"/>
    </row>
    <row r="36" spans="2:14" ht="12.75">
      <c r="B36" s="156"/>
      <c r="C36" s="157"/>
      <c r="D36" s="397" t="s">
        <v>91</v>
      </c>
      <c r="E36" s="397"/>
      <c r="F36" s="397"/>
      <c r="G36" s="397"/>
      <c r="H36" s="397"/>
      <c r="I36" s="301"/>
      <c r="J36" s="397" t="s">
        <v>92</v>
      </c>
      <c r="K36" s="397"/>
      <c r="L36" s="397"/>
      <c r="M36" s="397"/>
      <c r="N36" s="398"/>
    </row>
    <row r="37" spans="2:14" ht="12.75">
      <c r="B37" s="156"/>
      <c r="C37" s="157"/>
      <c r="D37" s="192" t="s">
        <v>291</v>
      </c>
      <c r="E37" s="193"/>
      <c r="F37" s="192" t="s">
        <v>22</v>
      </c>
      <c r="G37" s="193"/>
      <c r="H37" s="194" t="s">
        <v>292</v>
      </c>
      <c r="I37" s="302"/>
      <c r="J37" s="192" t="s">
        <v>291</v>
      </c>
      <c r="K37" s="193"/>
      <c r="L37" s="192" t="s">
        <v>22</v>
      </c>
      <c r="M37" s="193"/>
      <c r="N37" s="352" t="s">
        <v>292</v>
      </c>
    </row>
    <row r="38" spans="2:14" ht="12.75">
      <c r="B38" s="156"/>
      <c r="C38" s="157"/>
      <c r="D38" s="181"/>
      <c r="E38" s="181"/>
      <c r="F38" s="181"/>
      <c r="G38" s="181"/>
      <c r="H38" s="181"/>
      <c r="I38" s="304"/>
      <c r="J38" s="181"/>
      <c r="K38" s="181"/>
      <c r="L38" s="181"/>
      <c r="M38" s="181"/>
      <c r="N38" s="183"/>
    </row>
    <row r="39" spans="2:14" ht="12.75">
      <c r="B39" s="156" t="str">
        <f>B16</f>
        <v>0-17 Years</v>
      </c>
      <c r="C39" s="157"/>
      <c r="D39" s="180">
        <f>Hospitalizations!B12</f>
        <v>0.021051358722419488</v>
      </c>
      <c r="E39" s="180"/>
      <c r="F39" s="180">
        <f>Hospitalizations!D12</f>
        <v>0.025486366833763423</v>
      </c>
      <c r="G39" s="180"/>
      <c r="H39" s="180">
        <f>Hospitalizations!G12</f>
        <v>0.028641116533807378</v>
      </c>
      <c r="I39" s="303"/>
      <c r="J39" s="180">
        <f>'data entry'!C42</f>
        <v>0.021051358722419488</v>
      </c>
      <c r="K39" s="180"/>
      <c r="L39" s="180">
        <f>'data entry'!D42</f>
        <v>0.025486366833763423</v>
      </c>
      <c r="M39" s="180"/>
      <c r="N39" s="182">
        <f>'data entry'!E42</f>
        <v>0.028641116533807378</v>
      </c>
    </row>
    <row r="40" spans="2:14" ht="12.75">
      <c r="B40" s="156"/>
      <c r="C40" s="157"/>
      <c r="D40" s="180"/>
      <c r="E40" s="180"/>
      <c r="F40" s="180"/>
      <c r="G40" s="180"/>
      <c r="H40" s="180"/>
      <c r="I40" s="303"/>
      <c r="J40" s="180"/>
      <c r="K40" s="180"/>
      <c r="L40" s="180"/>
      <c r="M40" s="180"/>
      <c r="N40" s="182"/>
    </row>
    <row r="41" spans="2:14" ht="12.75">
      <c r="B41" s="156" t="str">
        <f>B18</f>
        <v>18-64 Years</v>
      </c>
      <c r="C41" s="157"/>
      <c r="D41" s="180">
        <f>Hospitalizations!B14</f>
        <v>0.018997356432656678</v>
      </c>
      <c r="E41" s="180"/>
      <c r="F41" s="180">
        <f>Hospitalizations!D14</f>
        <v>0.023003003535661874</v>
      </c>
      <c r="G41" s="180"/>
      <c r="H41" s="180">
        <f>Hospitalizations!G14</f>
        <v>0.02585191728537838</v>
      </c>
      <c r="I41" s="303"/>
      <c r="J41" s="180">
        <f>'data entry'!C43</f>
        <v>0.018997356432656678</v>
      </c>
      <c r="K41" s="180"/>
      <c r="L41" s="180">
        <f>'data entry'!D43</f>
        <v>0.023003003535661874</v>
      </c>
      <c r="M41" s="180"/>
      <c r="N41" s="182">
        <f>'data entry'!E43</f>
        <v>0.02585191728537838</v>
      </c>
    </row>
    <row r="42" spans="2:14" ht="12.75">
      <c r="B42" s="156"/>
      <c r="C42" s="157"/>
      <c r="D42" s="180"/>
      <c r="E42" s="180"/>
      <c r="F42" s="180"/>
      <c r="G42" s="180"/>
      <c r="H42" s="180"/>
      <c r="I42" s="303"/>
      <c r="J42" s="180"/>
      <c r="K42" s="180"/>
      <c r="L42" s="180"/>
      <c r="M42" s="180"/>
      <c r="N42" s="182"/>
    </row>
    <row r="43" spans="2:14" ht="12.75">
      <c r="B43" s="156" t="str">
        <f>B20</f>
        <v>65+ Years</v>
      </c>
      <c r="C43" s="157"/>
      <c r="D43" s="180">
        <f>Hospitalizations!B16</f>
        <v>0.0210340038765009</v>
      </c>
      <c r="E43" s="180"/>
      <c r="F43" s="180">
        <f>Hospitalizations!D16</f>
        <v>0.02547376346577088</v>
      </c>
      <c r="G43" s="180"/>
      <c r="H43" s="180">
        <f>Hospitalizations!G16</f>
        <v>0.028636896346454353</v>
      </c>
      <c r="I43" s="303"/>
      <c r="J43" s="180">
        <f>'data entry'!C44</f>
        <v>0.0210340038765009</v>
      </c>
      <c r="K43" s="180"/>
      <c r="L43" s="180">
        <f>'data entry'!D44</f>
        <v>0.02547376346577088</v>
      </c>
      <c r="M43" s="180"/>
      <c r="N43" s="182">
        <f>'data entry'!E44</f>
        <v>0.028636896346454353</v>
      </c>
    </row>
    <row r="44" spans="2:14" ht="12.75">
      <c r="B44" s="156"/>
      <c r="C44" s="157"/>
      <c r="D44" s="180"/>
      <c r="E44" s="180"/>
      <c r="F44" s="180"/>
      <c r="G44" s="180"/>
      <c r="H44" s="180"/>
      <c r="I44" s="303"/>
      <c r="J44" s="180"/>
      <c r="K44" s="180"/>
      <c r="L44" s="180"/>
      <c r="M44" s="180"/>
      <c r="N44" s="182"/>
    </row>
    <row r="45" spans="2:14" ht="15">
      <c r="B45" s="176" t="s">
        <v>25</v>
      </c>
      <c r="C45" s="157"/>
      <c r="D45" s="181"/>
      <c r="E45" s="181"/>
      <c r="F45" s="181"/>
      <c r="G45" s="181"/>
      <c r="H45" s="181"/>
      <c r="I45" s="304"/>
      <c r="J45" s="181"/>
      <c r="K45" s="181"/>
      <c r="L45" s="181"/>
      <c r="M45" s="181"/>
      <c r="N45" s="183"/>
    </row>
    <row r="46" spans="2:14" ht="12.75">
      <c r="B46" s="156"/>
      <c r="C46" s="157"/>
      <c r="D46" s="395" t="s">
        <v>91</v>
      </c>
      <c r="E46" s="395"/>
      <c r="F46" s="395"/>
      <c r="G46" s="395"/>
      <c r="H46" s="395"/>
      <c r="I46" s="304"/>
      <c r="J46" s="395" t="s">
        <v>92</v>
      </c>
      <c r="K46" s="395"/>
      <c r="L46" s="395"/>
      <c r="M46" s="395"/>
      <c r="N46" s="396"/>
    </row>
    <row r="47" spans="2:14" ht="12.75">
      <c r="B47" s="156"/>
      <c r="C47" s="157"/>
      <c r="D47" s="192" t="s">
        <v>291</v>
      </c>
      <c r="E47" s="193"/>
      <c r="F47" s="192" t="s">
        <v>22</v>
      </c>
      <c r="G47" s="193"/>
      <c r="H47" s="194" t="s">
        <v>292</v>
      </c>
      <c r="I47" s="303"/>
      <c r="J47" s="192" t="s">
        <v>291</v>
      </c>
      <c r="K47" s="193"/>
      <c r="L47" s="192" t="s">
        <v>22</v>
      </c>
      <c r="M47" s="193"/>
      <c r="N47" s="352" t="s">
        <v>292</v>
      </c>
    </row>
    <row r="48" spans="2:14" ht="12.75">
      <c r="B48" s="156"/>
      <c r="C48" s="157"/>
      <c r="D48" s="181"/>
      <c r="E48" s="181"/>
      <c r="F48" s="181"/>
      <c r="G48" s="181"/>
      <c r="H48" s="181"/>
      <c r="I48" s="304"/>
      <c r="J48" s="181"/>
      <c r="K48" s="181"/>
      <c r="L48" s="181"/>
      <c r="M48" s="181"/>
      <c r="N48" s="183"/>
    </row>
    <row r="49" spans="2:14" ht="12.75">
      <c r="B49" s="156" t="str">
        <f>B39</f>
        <v>0-17 Years</v>
      </c>
      <c r="C49" s="157"/>
      <c r="D49" s="180">
        <f>Hospitalizations!B21</f>
        <v>0.0014128962398380115</v>
      </c>
      <c r="E49" s="180"/>
      <c r="F49" s="180">
        <f>Hospitalizations!D21</f>
        <v>0.0017105590352325666</v>
      </c>
      <c r="G49" s="180"/>
      <c r="H49" s="180">
        <f>Hospitalizations!G21</f>
        <v>0.0019222952014152834</v>
      </c>
      <c r="I49" s="303"/>
      <c r="J49" s="180">
        <f>'data entry'!C47</f>
        <v>0.0014128962398380115</v>
      </c>
      <c r="K49" s="180"/>
      <c r="L49" s="180">
        <f>'data entry'!D47</f>
        <v>0.0017105590352325666</v>
      </c>
      <c r="M49" s="180"/>
      <c r="N49" s="182">
        <f>'data entry'!E47</f>
        <v>0.0019222952014152834</v>
      </c>
    </row>
    <row r="50" spans="2:14" ht="12.75">
      <c r="B50" s="156"/>
      <c r="C50" s="157"/>
      <c r="D50" s="180"/>
      <c r="E50" s="180"/>
      <c r="F50" s="180"/>
      <c r="G50" s="180"/>
      <c r="H50" s="180"/>
      <c r="I50" s="303"/>
      <c r="J50" s="180"/>
      <c r="K50" s="180"/>
      <c r="L50" s="180"/>
      <c r="M50" s="180"/>
      <c r="N50" s="182"/>
    </row>
    <row r="51" spans="2:14" ht="12.75">
      <c r="B51" s="156" t="str">
        <f>B41</f>
        <v>18-64 Years</v>
      </c>
      <c r="C51" s="157"/>
      <c r="D51" s="180">
        <f>Hospitalizations!B23</f>
        <v>0.0009437613982928413</v>
      </c>
      <c r="E51" s="180"/>
      <c r="F51" s="180">
        <f>Hospitalizations!D23</f>
        <v>0.0011427561965638969</v>
      </c>
      <c r="G51" s="180"/>
      <c r="H51" s="180">
        <f>Hospitalizations!G23</f>
        <v>0.0012842861422476155</v>
      </c>
      <c r="I51" s="303"/>
      <c r="J51" s="180">
        <f>'data entry'!C48</f>
        <v>0.0009437613982928413</v>
      </c>
      <c r="K51" s="180"/>
      <c r="L51" s="180">
        <f>'data entry'!D48</f>
        <v>0.0011427561965638969</v>
      </c>
      <c r="M51" s="180"/>
      <c r="N51" s="182">
        <f>'data entry'!E48</f>
        <v>0.0012842861422476155</v>
      </c>
    </row>
    <row r="52" spans="2:14" ht="12.75">
      <c r="B52" s="156"/>
      <c r="C52" s="157"/>
      <c r="D52" s="180"/>
      <c r="E52" s="180"/>
      <c r="F52" s="180"/>
      <c r="G52" s="180"/>
      <c r="H52" s="180"/>
      <c r="I52" s="303"/>
      <c r="J52" s="180"/>
      <c r="K52" s="180"/>
      <c r="L52" s="180"/>
      <c r="M52" s="180"/>
      <c r="N52" s="182"/>
    </row>
    <row r="53" spans="2:14" ht="13.5" thickBot="1">
      <c r="B53" s="163" t="str">
        <f>B43</f>
        <v>65+ Years</v>
      </c>
      <c r="C53" s="164"/>
      <c r="D53" s="187">
        <f>Hospitalizations!B25</f>
        <v>0.004773014030483495</v>
      </c>
      <c r="E53" s="187"/>
      <c r="F53" s="187">
        <f>Hospitalizations!D25</f>
        <v>0.005780479605558045</v>
      </c>
      <c r="G53" s="187"/>
      <c r="H53" s="187">
        <f>Hospitalizations!G25</f>
        <v>0.006498254391016409</v>
      </c>
      <c r="I53" s="305"/>
      <c r="J53" s="187">
        <f>'data entry'!C49</f>
        <v>0.004773014030483495</v>
      </c>
      <c r="K53" s="187"/>
      <c r="L53" s="187">
        <f>'data entry'!D49</f>
        <v>0.005780479605558045</v>
      </c>
      <c r="M53" s="187"/>
      <c r="N53" s="188">
        <f>'data entry'!E49</f>
        <v>0.006498254391016409</v>
      </c>
    </row>
    <row r="54" ht="13.5" thickTop="1"/>
  </sheetData>
  <sheetProtection/>
  <mergeCells count="9">
    <mergeCell ref="D36:H36"/>
    <mergeCell ref="J36:N36"/>
    <mergeCell ref="D46:H46"/>
    <mergeCell ref="J46:N46"/>
    <mergeCell ref="E7:J8"/>
    <mergeCell ref="D13:H13"/>
    <mergeCell ref="J13:N13"/>
    <mergeCell ref="D23:H23"/>
    <mergeCell ref="J23:N23"/>
  </mergeCells>
  <printOptions/>
  <pageMargins left="0.75" right="0.75" top="1" bottom="1" header="0.5" footer="0.5"/>
  <pageSetup fitToHeight="1" fitToWidth="1" horizontalDpi="600" verticalDpi="600" orientation="landscape" scale="66" r:id="rId3"/>
  <drawing r:id="rId2"/>
  <legacyDrawing r:id="rId1"/>
</worksheet>
</file>

<file path=xl/worksheets/sheet12.xml><?xml version="1.0" encoding="utf-8"?>
<worksheet xmlns="http://schemas.openxmlformats.org/spreadsheetml/2006/main" xmlns:r="http://schemas.openxmlformats.org/officeDocument/2006/relationships">
  <sheetPr codeName="Sheet11">
    <tabColor indexed="57"/>
    <pageSetUpPr fitToPage="1"/>
  </sheetPr>
  <dimension ref="B6:O50"/>
  <sheetViews>
    <sheetView showRowColHeaders="0" zoomScalePageLayoutView="0" workbookViewId="0" topLeftCell="A1">
      <selection activeCell="Q44" sqref="Q44"/>
    </sheetView>
  </sheetViews>
  <sheetFormatPr defaultColWidth="9.140625" defaultRowHeight="12.75"/>
  <cols>
    <col min="1" max="1" width="3.421875" style="5" customWidth="1"/>
    <col min="2" max="4" width="9.140625" style="5" customWidth="1"/>
    <col min="5" max="5" width="3.8515625" style="5" customWidth="1"/>
    <col min="6" max="6" width="9.140625" style="5" customWidth="1"/>
    <col min="7" max="7" width="5.140625" style="5" customWidth="1"/>
    <col min="8" max="8" width="9.140625" style="5" customWidth="1"/>
    <col min="9" max="9" width="15.421875" style="5" customWidth="1"/>
    <col min="10" max="10" width="9.140625" style="5" customWidth="1"/>
    <col min="11" max="11" width="5.8515625" style="5" customWidth="1"/>
    <col min="12" max="12" width="9.140625" style="5" customWidth="1"/>
    <col min="13" max="13" width="4.7109375" style="5" customWidth="1"/>
    <col min="14" max="16384" width="9.140625" style="5" customWidth="1"/>
  </cols>
  <sheetData>
    <row r="1" s="1" customFormat="1" ht="12.75"/>
    <row r="2" s="1" customFormat="1" ht="12.75"/>
    <row r="3" s="1" customFormat="1" ht="12.75"/>
    <row r="4" s="1" customFormat="1" ht="12.75"/>
    <row r="6" spans="5:10" ht="12.75" customHeight="1">
      <c r="E6" s="350" t="s">
        <v>227</v>
      </c>
      <c r="F6" s="350"/>
      <c r="G6" s="350"/>
      <c r="H6" s="350"/>
      <c r="I6" s="350"/>
      <c r="J6" s="350"/>
    </row>
    <row r="7" spans="5:10" ht="12.75" customHeight="1">
      <c r="E7" s="350"/>
      <c r="F7" s="350"/>
      <c r="G7" s="350"/>
      <c r="H7" s="350"/>
      <c r="I7" s="350"/>
      <c r="J7" s="350"/>
    </row>
    <row r="8" spans="5:10" ht="12.75" customHeight="1">
      <c r="E8" s="350"/>
      <c r="F8" s="350"/>
      <c r="G8" s="350"/>
      <c r="H8" s="350"/>
      <c r="I8" s="350"/>
      <c r="J8" s="350"/>
    </row>
    <row r="9" ht="13.5" thickBot="1"/>
    <row r="10" spans="2:14" ht="16.5" thickTop="1">
      <c r="B10" s="175" t="s">
        <v>96</v>
      </c>
      <c r="C10" s="154"/>
      <c r="D10" s="154"/>
      <c r="E10" s="154"/>
      <c r="F10" s="154"/>
      <c r="G10" s="154"/>
      <c r="H10" s="154"/>
      <c r="I10" s="299"/>
      <c r="J10" s="154"/>
      <c r="K10" s="154"/>
      <c r="L10" s="154"/>
      <c r="M10" s="154"/>
      <c r="N10" s="155"/>
    </row>
    <row r="11" spans="2:14" ht="12.75">
      <c r="B11" s="156"/>
      <c r="C11" s="157"/>
      <c r="D11" s="157"/>
      <c r="E11" s="157"/>
      <c r="F11" s="157"/>
      <c r="G11" s="157"/>
      <c r="H11" s="157"/>
      <c r="I11" s="300"/>
      <c r="J11" s="157"/>
      <c r="K11" s="157"/>
      <c r="L11" s="157"/>
      <c r="M11" s="157"/>
      <c r="N11" s="158"/>
    </row>
    <row r="12" spans="2:14" ht="15">
      <c r="B12" s="176" t="s">
        <v>19</v>
      </c>
      <c r="C12" s="157"/>
      <c r="D12" s="157"/>
      <c r="E12" s="157"/>
      <c r="F12" s="157"/>
      <c r="G12" s="157"/>
      <c r="H12" s="157"/>
      <c r="I12" s="300"/>
      <c r="J12" s="157"/>
      <c r="K12" s="157"/>
      <c r="L12" s="157"/>
      <c r="M12" s="157"/>
      <c r="N12" s="158"/>
    </row>
    <row r="13" spans="2:14" ht="12.75">
      <c r="B13" s="156"/>
      <c r="C13" s="157"/>
      <c r="D13" s="397" t="s">
        <v>91</v>
      </c>
      <c r="E13" s="397"/>
      <c r="F13" s="397"/>
      <c r="G13" s="397"/>
      <c r="H13" s="397"/>
      <c r="I13" s="301"/>
      <c r="J13" s="397" t="s">
        <v>92</v>
      </c>
      <c r="K13" s="397"/>
      <c r="L13" s="397"/>
      <c r="M13" s="397"/>
      <c r="N13" s="398"/>
    </row>
    <row r="14" spans="2:14" ht="12.75">
      <c r="B14" s="156"/>
      <c r="C14" s="157"/>
      <c r="D14" s="159" t="s">
        <v>291</v>
      </c>
      <c r="E14" s="178"/>
      <c r="F14" s="159" t="s">
        <v>22</v>
      </c>
      <c r="G14" s="178"/>
      <c r="H14" s="111" t="s">
        <v>292</v>
      </c>
      <c r="I14" s="302"/>
      <c r="J14" s="159" t="s">
        <v>291</v>
      </c>
      <c r="K14" s="178"/>
      <c r="L14" s="159" t="s">
        <v>22</v>
      </c>
      <c r="M14" s="178"/>
      <c r="N14" s="353" t="s">
        <v>292</v>
      </c>
    </row>
    <row r="15" spans="2:14" ht="12.75">
      <c r="B15" s="156"/>
      <c r="C15" s="157"/>
      <c r="D15" s="177"/>
      <c r="E15" s="177"/>
      <c r="F15" s="177"/>
      <c r="G15" s="177"/>
      <c r="H15" s="177"/>
      <c r="I15" s="301"/>
      <c r="J15" s="177"/>
      <c r="K15" s="177"/>
      <c r="L15" s="177"/>
      <c r="M15" s="177"/>
      <c r="N15" s="179"/>
    </row>
    <row r="16" spans="2:15" ht="12.75">
      <c r="B16" s="156" t="str">
        <f>RESULTS!B21</f>
        <v>0-17 Years</v>
      </c>
      <c r="C16" s="157"/>
      <c r="D16" s="180">
        <f>Outpatients!B12</f>
        <v>0.825</v>
      </c>
      <c r="E16" s="180"/>
      <c r="F16" s="180">
        <f>Outpatients!D12</f>
        <v>0.8915</v>
      </c>
      <c r="G16" s="180"/>
      <c r="H16" s="180">
        <f>Outpatients!G12</f>
        <v>0.958</v>
      </c>
      <c r="I16" s="303"/>
      <c r="J16" s="180">
        <f>'data entry'!C57</f>
        <v>0.825</v>
      </c>
      <c r="K16" s="181"/>
      <c r="L16" s="180">
        <f>'data entry'!D57</f>
        <v>0.8915</v>
      </c>
      <c r="M16" s="180"/>
      <c r="N16" s="182">
        <f>'data entry'!E57</f>
        <v>0.958</v>
      </c>
      <c r="O16" s="283"/>
    </row>
    <row r="17" spans="2:15" ht="12.75">
      <c r="B17" s="156"/>
      <c r="C17" s="157"/>
      <c r="D17" s="180"/>
      <c r="E17" s="180"/>
      <c r="F17" s="180"/>
      <c r="G17" s="180"/>
      <c r="H17" s="180"/>
      <c r="I17" s="303"/>
      <c r="J17" s="181"/>
      <c r="K17" s="181"/>
      <c r="L17" s="181"/>
      <c r="M17" s="180"/>
      <c r="N17" s="182"/>
      <c r="O17" s="283"/>
    </row>
    <row r="18" spans="2:15" ht="12.75">
      <c r="B18" s="156" t="str">
        <f>RESULTS!B23</f>
        <v>18-64 Years</v>
      </c>
      <c r="C18" s="157"/>
      <c r="D18" s="180">
        <f>Outpatients!B14</f>
        <v>0.583</v>
      </c>
      <c r="E18" s="180"/>
      <c r="F18" s="180">
        <f>Outpatients!D14</f>
        <v>0.615</v>
      </c>
      <c r="G18" s="180"/>
      <c r="H18" s="180">
        <f>Outpatients!G14</f>
        <v>0.647</v>
      </c>
      <c r="I18" s="303"/>
      <c r="J18" s="180">
        <f>'data entry'!C58</f>
        <v>0.583</v>
      </c>
      <c r="K18" s="181"/>
      <c r="L18" s="180">
        <f>'data entry'!D58</f>
        <v>0.615</v>
      </c>
      <c r="M18" s="180"/>
      <c r="N18" s="182">
        <f>'data entry'!E58</f>
        <v>0.647</v>
      </c>
      <c r="O18" s="283"/>
    </row>
    <row r="19" spans="2:15" ht="12.75">
      <c r="B19" s="156"/>
      <c r="C19" s="157"/>
      <c r="D19" s="180"/>
      <c r="E19" s="180"/>
      <c r="F19" s="180"/>
      <c r="G19" s="180"/>
      <c r="H19" s="180"/>
      <c r="I19" s="303"/>
      <c r="J19" s="180"/>
      <c r="K19" s="180"/>
      <c r="L19" s="180"/>
      <c r="M19" s="180"/>
      <c r="N19" s="182"/>
      <c r="O19" s="283"/>
    </row>
    <row r="20" spans="2:15" ht="12.75">
      <c r="B20" s="156" t="str">
        <f>RESULTS!B25</f>
        <v>65+ Years</v>
      </c>
      <c r="C20" s="157"/>
      <c r="D20" s="180">
        <f>Outpatients!B16</f>
        <v>0.656</v>
      </c>
      <c r="E20" s="180"/>
      <c r="F20" s="180">
        <f>Outpatients!D16</f>
        <v>0.669</v>
      </c>
      <c r="G20" s="180"/>
      <c r="H20" s="180">
        <f>Outpatients!G16</f>
        <v>0.682</v>
      </c>
      <c r="I20" s="303"/>
      <c r="J20" s="180">
        <f>'data entry'!C59</f>
        <v>0.656</v>
      </c>
      <c r="K20" s="180"/>
      <c r="L20" s="180">
        <f>'data entry'!D59</f>
        <v>0.669</v>
      </c>
      <c r="M20" s="180"/>
      <c r="N20" s="182">
        <f>'data entry'!E59</f>
        <v>0.682</v>
      </c>
      <c r="O20" s="283"/>
    </row>
    <row r="21" spans="2:15" ht="12.75">
      <c r="B21" s="156"/>
      <c r="C21" s="157"/>
      <c r="D21" s="181"/>
      <c r="E21" s="181"/>
      <c r="F21" s="181"/>
      <c r="G21" s="181"/>
      <c r="H21" s="181"/>
      <c r="I21" s="304"/>
      <c r="J21" s="181"/>
      <c r="K21" s="181"/>
      <c r="L21" s="181"/>
      <c r="M21" s="181"/>
      <c r="N21" s="183"/>
      <c r="O21" s="283"/>
    </row>
    <row r="22" spans="2:15" ht="15">
      <c r="B22" s="176" t="s">
        <v>25</v>
      </c>
      <c r="C22" s="157"/>
      <c r="D22" s="181"/>
      <c r="E22" s="181"/>
      <c r="F22" s="181"/>
      <c r="G22" s="181"/>
      <c r="H22" s="181"/>
      <c r="I22" s="304"/>
      <c r="J22" s="181"/>
      <c r="K22" s="181"/>
      <c r="L22" s="181"/>
      <c r="M22" s="181"/>
      <c r="N22" s="183"/>
      <c r="O22" s="283"/>
    </row>
    <row r="23" spans="2:15" ht="12.75">
      <c r="B23" s="156"/>
      <c r="C23" s="157"/>
      <c r="D23" s="395" t="s">
        <v>91</v>
      </c>
      <c r="E23" s="395"/>
      <c r="F23" s="395"/>
      <c r="G23" s="395"/>
      <c r="H23" s="395"/>
      <c r="I23" s="304"/>
      <c r="J23" s="395" t="s">
        <v>92</v>
      </c>
      <c r="K23" s="395"/>
      <c r="L23" s="395"/>
      <c r="M23" s="395"/>
      <c r="N23" s="396"/>
      <c r="O23" s="283"/>
    </row>
    <row r="24" spans="2:15" ht="12.75">
      <c r="B24" s="156"/>
      <c r="C24" s="157"/>
      <c r="D24" s="159" t="s">
        <v>291</v>
      </c>
      <c r="E24" s="178"/>
      <c r="F24" s="159" t="s">
        <v>22</v>
      </c>
      <c r="G24" s="178"/>
      <c r="H24" s="111" t="s">
        <v>292</v>
      </c>
      <c r="I24" s="303"/>
      <c r="J24" s="159" t="s">
        <v>291</v>
      </c>
      <c r="K24" s="178"/>
      <c r="L24" s="159" t="s">
        <v>22</v>
      </c>
      <c r="M24" s="178"/>
      <c r="N24" s="353" t="s">
        <v>292</v>
      </c>
      <c r="O24" s="283"/>
    </row>
    <row r="25" spans="2:15" ht="12.75">
      <c r="B25" s="156"/>
      <c r="C25" s="157"/>
      <c r="D25" s="181"/>
      <c r="E25" s="181"/>
      <c r="F25" s="181"/>
      <c r="G25" s="181"/>
      <c r="H25" s="181"/>
      <c r="I25" s="304"/>
      <c r="J25" s="181"/>
      <c r="K25" s="181"/>
      <c r="L25" s="181"/>
      <c r="M25" s="181"/>
      <c r="N25" s="183"/>
      <c r="O25" s="283"/>
    </row>
    <row r="26" spans="2:15" ht="12.75">
      <c r="B26" s="156" t="str">
        <f>B16</f>
        <v>0-17 Years</v>
      </c>
      <c r="C26" s="157"/>
      <c r="D26" s="180">
        <f>Outpatients!B20</f>
        <v>0.471</v>
      </c>
      <c r="E26" s="180"/>
      <c r="F26" s="180">
        <f>Outpatients!D20</f>
        <v>0.5095</v>
      </c>
      <c r="G26" s="180"/>
      <c r="H26" s="180">
        <f>Outpatients!G20</f>
        <v>0.548</v>
      </c>
      <c r="I26" s="303"/>
      <c r="J26" s="180">
        <f>'data entry'!C62</f>
        <v>0.471</v>
      </c>
      <c r="K26" s="181"/>
      <c r="L26" s="180">
        <f>'data entry'!D62</f>
        <v>0.5095</v>
      </c>
      <c r="M26" s="180"/>
      <c r="N26" s="182">
        <f>'data entry'!E62</f>
        <v>0.548</v>
      </c>
      <c r="O26" s="283"/>
    </row>
    <row r="27" spans="2:15" ht="12.75">
      <c r="B27" s="156"/>
      <c r="C27" s="157"/>
      <c r="D27" s="180"/>
      <c r="E27" s="180"/>
      <c r="F27" s="180"/>
      <c r="G27" s="180"/>
      <c r="H27" s="180"/>
      <c r="I27" s="303"/>
      <c r="J27" s="181"/>
      <c r="K27" s="181"/>
      <c r="L27" s="181"/>
      <c r="M27" s="180"/>
      <c r="N27" s="182"/>
      <c r="O27" s="283"/>
    </row>
    <row r="28" spans="2:15" ht="12.75">
      <c r="B28" s="156" t="str">
        <f>B18</f>
        <v>18-64 Years</v>
      </c>
      <c r="C28" s="157"/>
      <c r="D28" s="180">
        <f>Outpatients!B22</f>
        <v>0.333</v>
      </c>
      <c r="E28" s="180"/>
      <c r="F28" s="180">
        <f>Outpatients!D22</f>
        <v>0.3515</v>
      </c>
      <c r="G28" s="180"/>
      <c r="H28" s="180">
        <f>Outpatients!G22</f>
        <v>0.37</v>
      </c>
      <c r="I28" s="303"/>
      <c r="J28" s="180">
        <f>'data entry'!C63</f>
        <v>0.333</v>
      </c>
      <c r="K28" s="181"/>
      <c r="L28" s="180">
        <f>'data entry'!D63</f>
        <v>0.3515</v>
      </c>
      <c r="M28" s="180"/>
      <c r="N28" s="182">
        <f>'data entry'!E63</f>
        <v>0.37</v>
      </c>
      <c r="O28" s="283"/>
    </row>
    <row r="29" spans="2:15" ht="12.75">
      <c r="B29" s="156"/>
      <c r="C29" s="157"/>
      <c r="D29" s="180"/>
      <c r="E29" s="180"/>
      <c r="F29" s="180"/>
      <c r="G29" s="180"/>
      <c r="H29" s="180"/>
      <c r="I29" s="303"/>
      <c r="J29" s="180"/>
      <c r="K29" s="180"/>
      <c r="L29" s="180"/>
      <c r="M29" s="180"/>
      <c r="N29" s="182"/>
      <c r="O29" s="283"/>
    </row>
    <row r="30" spans="2:15" ht="13.5" thickBot="1">
      <c r="B30" s="163" t="str">
        <f>B20</f>
        <v>65+ Years</v>
      </c>
      <c r="C30" s="164"/>
      <c r="D30" s="187">
        <f>Outpatients!B24</f>
        <v>0.375</v>
      </c>
      <c r="E30" s="187"/>
      <c r="F30" s="187">
        <f>Outpatients!D24</f>
        <v>0.382</v>
      </c>
      <c r="G30" s="187"/>
      <c r="H30" s="187">
        <f>Outpatients!G24</f>
        <v>0.389</v>
      </c>
      <c r="I30" s="305"/>
      <c r="J30" s="187">
        <f>'data entry'!C64</f>
        <v>0.375</v>
      </c>
      <c r="K30" s="187"/>
      <c r="L30" s="187">
        <f>'data entry'!D64</f>
        <v>0.382</v>
      </c>
      <c r="M30" s="187"/>
      <c r="N30" s="188">
        <f>'data entry'!E64</f>
        <v>0.389</v>
      </c>
      <c r="O30" s="283"/>
    </row>
    <row r="31" spans="4:15" ht="14.25" thickBot="1" thickTop="1">
      <c r="D31" s="284"/>
      <c r="E31" s="284"/>
      <c r="F31" s="284"/>
      <c r="G31" s="284"/>
      <c r="H31" s="284"/>
      <c r="I31" s="284"/>
      <c r="J31" s="284"/>
      <c r="K31" s="284"/>
      <c r="L31" s="284"/>
      <c r="M31" s="284"/>
      <c r="N31" s="284"/>
      <c r="O31" s="283"/>
    </row>
    <row r="32" spans="2:15" ht="16.5" thickTop="1">
      <c r="B32" s="175" t="s">
        <v>259</v>
      </c>
      <c r="C32" s="154"/>
      <c r="D32" s="189"/>
      <c r="E32" s="189"/>
      <c r="F32" s="189"/>
      <c r="G32" s="189"/>
      <c r="H32" s="189"/>
      <c r="I32" s="306"/>
      <c r="J32" s="189"/>
      <c r="K32" s="189"/>
      <c r="L32" s="189"/>
      <c r="M32" s="189"/>
      <c r="N32" s="190"/>
      <c r="O32" s="283"/>
    </row>
    <row r="33" spans="2:15" ht="12.75">
      <c r="B33" s="156"/>
      <c r="C33" s="157"/>
      <c r="D33" s="181"/>
      <c r="E33" s="181"/>
      <c r="F33" s="181"/>
      <c r="G33" s="181"/>
      <c r="H33" s="181"/>
      <c r="I33" s="304"/>
      <c r="J33" s="181"/>
      <c r="K33" s="181"/>
      <c r="L33" s="181"/>
      <c r="M33" s="181"/>
      <c r="N33" s="183"/>
      <c r="O33" s="283"/>
    </row>
    <row r="34" spans="2:15" ht="15">
      <c r="B34" s="176"/>
      <c r="C34" s="157"/>
      <c r="D34" s="181"/>
      <c r="E34" s="181"/>
      <c r="F34" s="181"/>
      <c r="G34" s="181"/>
      <c r="H34" s="181"/>
      <c r="I34" s="304"/>
      <c r="J34" s="181"/>
      <c r="K34" s="181"/>
      <c r="L34" s="181"/>
      <c r="M34" s="181"/>
      <c r="N34" s="183"/>
      <c r="O34" s="283"/>
    </row>
    <row r="35" spans="2:15" ht="12.75">
      <c r="B35" s="156"/>
      <c r="C35" s="157"/>
      <c r="D35" s="395" t="s">
        <v>91</v>
      </c>
      <c r="E35" s="395"/>
      <c r="F35" s="395"/>
      <c r="G35" s="395"/>
      <c r="H35" s="395"/>
      <c r="I35" s="304"/>
      <c r="J35" s="395" t="s">
        <v>92</v>
      </c>
      <c r="K35" s="395"/>
      <c r="L35" s="395"/>
      <c r="M35" s="395"/>
      <c r="N35" s="396"/>
      <c r="O35" s="283"/>
    </row>
    <row r="36" spans="2:15" ht="12.75">
      <c r="B36" s="156"/>
      <c r="C36" s="157"/>
      <c r="D36" s="184" t="s">
        <v>97</v>
      </c>
      <c r="E36" s="180"/>
      <c r="F36" s="184" t="s">
        <v>30</v>
      </c>
      <c r="G36" s="180"/>
      <c r="H36" s="185" t="s">
        <v>98</v>
      </c>
      <c r="I36" s="303"/>
      <c r="J36" s="184" t="s">
        <v>97</v>
      </c>
      <c r="K36" s="180"/>
      <c r="L36" s="184" t="s">
        <v>30</v>
      </c>
      <c r="M36" s="180"/>
      <c r="N36" s="186" t="s">
        <v>98</v>
      </c>
      <c r="O36" s="283"/>
    </row>
    <row r="37" spans="2:15" ht="12.75">
      <c r="B37" s="156"/>
      <c r="C37" s="157"/>
      <c r="D37" s="181"/>
      <c r="E37" s="181"/>
      <c r="F37" s="181"/>
      <c r="G37" s="181"/>
      <c r="H37" s="181"/>
      <c r="I37" s="304"/>
      <c r="J37" s="181"/>
      <c r="K37" s="181"/>
      <c r="L37" s="181"/>
      <c r="M37" s="181"/>
      <c r="N37" s="183"/>
      <c r="O37" s="283"/>
    </row>
    <row r="38" spans="2:15" ht="12.75">
      <c r="B38" s="156" t="str">
        <f>B26</f>
        <v>0-17 Years</v>
      </c>
      <c r="C38" s="157"/>
      <c r="D38" s="180">
        <f>Attack_Rates!D12</f>
        <v>0.19</v>
      </c>
      <c r="E38" s="180"/>
      <c r="F38" s="180">
        <f>Attack_Rates!F12</f>
        <v>0.3</v>
      </c>
      <c r="G38" s="180"/>
      <c r="H38" s="180">
        <f>Attack_Rates!H12</f>
        <v>0.42</v>
      </c>
      <c r="I38" s="304"/>
      <c r="J38" s="181">
        <f>'data entry'!C69</f>
        <v>0.19</v>
      </c>
      <c r="K38" s="181"/>
      <c r="L38" s="181">
        <f>'data entry'!D69</f>
        <v>0.3</v>
      </c>
      <c r="M38" s="181"/>
      <c r="N38" s="183">
        <f>'data entry'!E69</f>
        <v>0.42</v>
      </c>
      <c r="O38" s="283"/>
    </row>
    <row r="39" spans="2:15" ht="12.75">
      <c r="B39" s="156"/>
      <c r="C39" s="157"/>
      <c r="D39" s="180"/>
      <c r="E39" s="180"/>
      <c r="F39" s="180"/>
      <c r="G39" s="180"/>
      <c r="H39" s="180"/>
      <c r="I39" s="304"/>
      <c r="J39" s="181"/>
      <c r="K39" s="181"/>
      <c r="L39" s="181"/>
      <c r="M39" s="181"/>
      <c r="N39" s="183"/>
      <c r="O39" s="283"/>
    </row>
    <row r="40" spans="2:15" ht="12.75">
      <c r="B40" s="156" t="str">
        <f>B28</f>
        <v>18-64 Years</v>
      </c>
      <c r="C40" s="157"/>
      <c r="D40" s="180">
        <f>Attack_Rates!D14</f>
        <v>0.07</v>
      </c>
      <c r="E40" s="180"/>
      <c r="F40" s="180">
        <f>Attack_Rates!F14</f>
        <v>0.1</v>
      </c>
      <c r="G40" s="180"/>
      <c r="H40" s="180">
        <f>Attack_Rates!H14</f>
        <v>0.13</v>
      </c>
      <c r="I40" s="304"/>
      <c r="J40" s="181">
        <f>'data entry'!C70</f>
        <v>0.07</v>
      </c>
      <c r="K40" s="181"/>
      <c r="L40" s="181">
        <f>'data entry'!D70</f>
        <v>0.1</v>
      </c>
      <c r="M40" s="181"/>
      <c r="N40" s="183">
        <f>'data entry'!E70</f>
        <v>0.13</v>
      </c>
      <c r="O40" s="283"/>
    </row>
    <row r="41" spans="2:15" ht="12.75">
      <c r="B41" s="156"/>
      <c r="C41" s="157"/>
      <c r="D41" s="180"/>
      <c r="E41" s="180"/>
      <c r="F41" s="180"/>
      <c r="G41" s="180"/>
      <c r="H41" s="180"/>
      <c r="I41" s="304"/>
      <c r="J41" s="181"/>
      <c r="K41" s="181"/>
      <c r="L41" s="181"/>
      <c r="M41" s="181"/>
      <c r="N41" s="183"/>
      <c r="O41" s="283"/>
    </row>
    <row r="42" spans="2:15" ht="12.75">
      <c r="B42" s="156" t="str">
        <f>B30</f>
        <v>65+ Years</v>
      </c>
      <c r="C42" s="157"/>
      <c r="D42" s="180">
        <f>Attack_Rates!D16</f>
        <v>0.02</v>
      </c>
      <c r="E42" s="180"/>
      <c r="F42" s="180">
        <f>Attack_Rates!F16</f>
        <v>0.04</v>
      </c>
      <c r="G42" s="180"/>
      <c r="H42" s="180">
        <f>Attack_Rates!H16</f>
        <v>0.06</v>
      </c>
      <c r="I42" s="304"/>
      <c r="J42" s="181">
        <f>'data entry'!C71</f>
        <v>0.02</v>
      </c>
      <c r="K42" s="181"/>
      <c r="L42" s="181">
        <f>'data entry'!D71</f>
        <v>0.04</v>
      </c>
      <c r="M42" s="181"/>
      <c r="N42" s="183">
        <f>'data entry'!E71</f>
        <v>0.06</v>
      </c>
      <c r="O42" s="283"/>
    </row>
    <row r="43" spans="2:15" ht="13.5" thickBot="1">
      <c r="B43" s="163" t="s">
        <v>120</v>
      </c>
      <c r="C43" s="164"/>
      <c r="D43" s="250">
        <f>Attack_Rates!D18</f>
        <v>0.09622288942155326</v>
      </c>
      <c r="E43" s="250"/>
      <c r="F43" s="250">
        <f>Attack_Rates!F18</f>
        <v>0.14668765087743094</v>
      </c>
      <c r="G43" s="250"/>
      <c r="H43" s="250">
        <f>Attack_Rates!H18</f>
        <v>0.1998703022568027</v>
      </c>
      <c r="I43" s="307"/>
      <c r="J43" s="250">
        <f>'data entry'!C73</f>
        <v>0.09622288942155326</v>
      </c>
      <c r="K43" s="250"/>
      <c r="L43" s="250">
        <f>'data entry'!D73</f>
        <v>0.14668765087743094</v>
      </c>
      <c r="M43" s="250"/>
      <c r="N43" s="358">
        <f>'data entry'!E73</f>
        <v>0.1998703022568027</v>
      </c>
      <c r="O43" s="283"/>
    </row>
    <row r="44" spans="4:15" ht="13.5" thickTop="1">
      <c r="D44" s="283"/>
      <c r="E44" s="283"/>
      <c r="F44" s="283"/>
      <c r="G44" s="283"/>
      <c r="H44" s="283"/>
      <c r="I44" s="283"/>
      <c r="J44" s="283"/>
      <c r="K44" s="283"/>
      <c r="L44" s="283"/>
      <c r="M44" s="283"/>
      <c r="N44" s="283"/>
      <c r="O44" s="283"/>
    </row>
    <row r="45" spans="4:15" ht="12.75">
      <c r="D45" s="283"/>
      <c r="E45" s="283"/>
      <c r="F45" s="283"/>
      <c r="G45" s="283"/>
      <c r="H45" s="283"/>
      <c r="I45" s="283"/>
      <c r="J45" s="283"/>
      <c r="K45" s="283"/>
      <c r="L45" s="283"/>
      <c r="M45" s="283"/>
      <c r="N45" s="283"/>
      <c r="O45" s="283"/>
    </row>
    <row r="48" ht="15">
      <c r="B48" s="285"/>
    </row>
    <row r="49" spans="4:14" ht="12.75">
      <c r="D49" s="399"/>
      <c r="E49" s="399"/>
      <c r="F49" s="399"/>
      <c r="G49" s="399"/>
      <c r="H49" s="399"/>
      <c r="J49" s="399"/>
      <c r="K49" s="399"/>
      <c r="L49" s="399"/>
      <c r="M49" s="399"/>
      <c r="N49" s="399"/>
    </row>
    <row r="50" spans="4:14" ht="12.75">
      <c r="D50" s="286"/>
      <c r="E50" s="6"/>
      <c r="F50" s="286"/>
      <c r="G50" s="6"/>
      <c r="H50" s="287"/>
      <c r="I50" s="6"/>
      <c r="J50" s="286"/>
      <c r="K50" s="6"/>
      <c r="L50" s="286"/>
      <c r="M50" s="6"/>
      <c r="N50" s="286"/>
    </row>
  </sheetData>
  <sheetProtection/>
  <mergeCells count="9">
    <mergeCell ref="D49:H49"/>
    <mergeCell ref="J49:N49"/>
    <mergeCell ref="E6:J8"/>
    <mergeCell ref="D13:H13"/>
    <mergeCell ref="J13:N13"/>
    <mergeCell ref="D23:H23"/>
    <mergeCell ref="J23:N23"/>
    <mergeCell ref="D35:H35"/>
    <mergeCell ref="J35:N35"/>
  </mergeCells>
  <printOptions/>
  <pageMargins left="0.75" right="0.75" top="1" bottom="1" header="0.5" footer="0.5"/>
  <pageSetup fitToHeight="1" fitToWidth="1" horizontalDpi="600" verticalDpi="600" orientation="landscape" scale="80" r:id="rId3"/>
  <drawing r:id="rId2"/>
  <legacyDrawing r:id="rId1"/>
</worksheet>
</file>

<file path=xl/worksheets/sheet13.xml><?xml version="1.0" encoding="utf-8"?>
<worksheet xmlns="http://schemas.openxmlformats.org/spreadsheetml/2006/main" xmlns:r="http://schemas.openxmlformats.org/officeDocument/2006/relationships">
  <sheetPr codeName="Sheet12">
    <tabColor indexed="51"/>
    <pageSetUpPr fitToPage="1"/>
  </sheetPr>
  <dimension ref="B7:N85"/>
  <sheetViews>
    <sheetView showRowColHeaders="0" zoomScalePageLayoutView="0" workbookViewId="0" topLeftCell="A1">
      <selection activeCell="J83" sqref="J83"/>
    </sheetView>
  </sheetViews>
  <sheetFormatPr defaultColWidth="9.140625" defaultRowHeight="12.75"/>
  <cols>
    <col min="1" max="1" width="3.421875" style="5" customWidth="1"/>
    <col min="2" max="2" width="9.140625" style="5" customWidth="1"/>
    <col min="3" max="3" width="13.7109375" style="5" customWidth="1"/>
    <col min="4" max="4" width="14.57421875" style="5" customWidth="1"/>
    <col min="5" max="5" width="3.8515625" style="5" customWidth="1"/>
    <col min="6" max="6" width="16.421875" style="5" bestFit="1" customWidth="1"/>
    <col min="7" max="7" width="3.7109375" style="5" customWidth="1"/>
    <col min="8" max="8" width="16.421875" style="5" bestFit="1" customWidth="1"/>
    <col min="9" max="9" width="2.57421875" style="5" customWidth="1"/>
    <col min="10" max="10" width="13.7109375" style="5" customWidth="1"/>
    <col min="11" max="11" width="7.57421875" style="5" customWidth="1"/>
    <col min="12" max="13" width="7.28125" style="5" customWidth="1"/>
    <col min="14" max="14" width="7.421875" style="5" customWidth="1"/>
    <col min="15" max="16384" width="9.140625" style="5" customWidth="1"/>
  </cols>
  <sheetData>
    <row r="1" s="1" customFormat="1" ht="12.75"/>
    <row r="2" s="1" customFormat="1" ht="12.75"/>
    <row r="3" s="1" customFormat="1" ht="12.75"/>
    <row r="4" s="1" customFormat="1" ht="12.75"/>
    <row r="5" ht="13.5" customHeight="1"/>
    <row r="6" ht="13.5" customHeight="1"/>
    <row r="7" spans="5:10" ht="6.75" customHeight="1">
      <c r="E7" s="350" t="s">
        <v>32</v>
      </c>
      <c r="F7" s="350"/>
      <c r="G7" s="350"/>
      <c r="H7" s="350"/>
      <c r="I7" s="350"/>
      <c r="J7" s="350"/>
    </row>
    <row r="8" spans="5:10" ht="6.75" customHeight="1">
      <c r="E8" s="350"/>
      <c r="F8" s="350"/>
      <c r="G8" s="350"/>
      <c r="H8" s="350"/>
      <c r="I8" s="350"/>
      <c r="J8" s="350"/>
    </row>
    <row r="9" spans="5:10" ht="12.75" customHeight="1">
      <c r="E9" s="350"/>
      <c r="F9" s="350"/>
      <c r="G9" s="350"/>
      <c r="H9" s="350"/>
      <c r="I9" s="350"/>
      <c r="J9" s="350"/>
    </row>
    <row r="10" ht="6.75" customHeight="1" thickBot="1"/>
    <row r="11" spans="2:14" ht="16.5" thickTop="1">
      <c r="B11" s="311" t="s">
        <v>228</v>
      </c>
      <c r="C11" s="312"/>
      <c r="D11" s="312"/>
      <c r="E11" s="312"/>
      <c r="F11" s="312"/>
      <c r="G11" s="312"/>
      <c r="H11" s="312" t="str">
        <f>Main_Sheet!H13</f>
        <v>United States (50 states and District of Columbia)</v>
      </c>
      <c r="I11" s="312"/>
      <c r="J11" s="312"/>
      <c r="K11" s="312"/>
      <c r="L11" s="312"/>
      <c r="M11" s="312"/>
      <c r="N11" s="313"/>
    </row>
    <row r="12" spans="2:14" ht="12.75">
      <c r="B12" s="156"/>
      <c r="C12" s="157"/>
      <c r="D12" s="157"/>
      <c r="E12" s="157"/>
      <c r="F12" s="157"/>
      <c r="G12" s="157"/>
      <c r="H12" s="157"/>
      <c r="I12" s="157"/>
      <c r="J12" s="157"/>
      <c r="K12" s="157"/>
      <c r="L12" s="157"/>
      <c r="M12" s="157"/>
      <c r="N12" s="158"/>
    </row>
    <row r="13" spans="2:14" ht="12.75">
      <c r="B13" s="156"/>
      <c r="C13" s="157"/>
      <c r="D13" s="159" t="s">
        <v>229</v>
      </c>
      <c r="E13" s="160"/>
      <c r="F13" s="159" t="s">
        <v>230</v>
      </c>
      <c r="G13" s="160"/>
      <c r="H13" s="111" t="s">
        <v>140</v>
      </c>
      <c r="I13" s="160"/>
      <c r="J13" s="159" t="s">
        <v>114</v>
      </c>
      <c r="K13" s="160"/>
      <c r="L13" s="159" t="s">
        <v>123</v>
      </c>
      <c r="M13" s="157"/>
      <c r="N13" s="158"/>
    </row>
    <row r="14" spans="2:14" ht="12.75">
      <c r="B14" s="156"/>
      <c r="C14" s="157"/>
      <c r="D14" s="160"/>
      <c r="E14" s="160"/>
      <c r="F14" s="160"/>
      <c r="G14" s="160"/>
      <c r="H14" s="160"/>
      <c r="I14" s="160"/>
      <c r="J14" s="160"/>
      <c r="K14" s="160"/>
      <c r="L14" s="160"/>
      <c r="M14" s="157"/>
      <c r="N14" s="158"/>
    </row>
    <row r="15" spans="2:14" ht="12.75">
      <c r="B15" s="156" t="s">
        <v>231</v>
      </c>
      <c r="C15" s="157"/>
      <c r="D15" s="161">
        <f>'data entry'!W18</f>
        <v>75361487.63956639</v>
      </c>
      <c r="E15" s="161"/>
      <c r="F15" s="161">
        <f>'data entry'!X18</f>
        <v>150645152.09406734</v>
      </c>
      <c r="G15" s="161"/>
      <c r="H15" s="161">
        <f>'data entry'!Y18</f>
        <v>19756982.718232047</v>
      </c>
      <c r="I15" s="161"/>
      <c r="J15" s="161">
        <f>'data entry'!Z18</f>
        <v>245763622.45186576</v>
      </c>
      <c r="K15" s="161"/>
      <c r="L15" s="162">
        <f>'data entry'!AA18</f>
        <v>0.80827417462191</v>
      </c>
      <c r="M15" s="157"/>
      <c r="N15" s="158"/>
    </row>
    <row r="16" spans="2:14" ht="13.5" thickBot="1">
      <c r="B16" s="156" t="s">
        <v>232</v>
      </c>
      <c r="C16" s="157"/>
      <c r="D16" s="161">
        <f>'data entry'!W19</f>
        <v>7278598.360433603</v>
      </c>
      <c r="E16" s="161"/>
      <c r="F16" s="161">
        <f>'data entry'!X19</f>
        <v>31904769.905932657</v>
      </c>
      <c r="G16" s="161"/>
      <c r="H16" s="161">
        <f>'data entry'!Y19</f>
        <v>19112733.281767953</v>
      </c>
      <c r="I16" s="161"/>
      <c r="J16" s="161">
        <f>'data entry'!Z19</f>
        <v>58296101.54813421</v>
      </c>
      <c r="K16" s="161"/>
      <c r="L16" s="162">
        <f>'data entry'!AA19</f>
        <v>0.19172582537808988</v>
      </c>
      <c r="M16" s="157"/>
      <c r="N16" s="158"/>
    </row>
    <row r="17" spans="2:14" ht="13.5" thickTop="1">
      <c r="B17" s="156" t="s">
        <v>114</v>
      </c>
      <c r="C17" s="157"/>
      <c r="D17" s="107">
        <f>'data entry'!W22</f>
        <v>82640086</v>
      </c>
      <c r="E17" s="107"/>
      <c r="F17" s="107">
        <f>'data entry'!X22</f>
        <v>182549922</v>
      </c>
      <c r="G17" s="107"/>
      <c r="H17" s="107">
        <f>'data entry'!Y22</f>
        <v>38869716</v>
      </c>
      <c r="I17" s="107"/>
      <c r="J17" s="107">
        <f>'data entry'!Z22</f>
        <v>304059724</v>
      </c>
      <c r="K17" s="107"/>
      <c r="L17" s="108">
        <f>'data entry'!AA22</f>
        <v>0.9999999999999999</v>
      </c>
      <c r="M17" s="157"/>
      <c r="N17" s="158"/>
    </row>
    <row r="18" spans="2:14" ht="6" customHeight="1" thickBot="1">
      <c r="B18" s="163"/>
      <c r="C18" s="164"/>
      <c r="D18" s="113"/>
      <c r="E18" s="113"/>
      <c r="F18" s="113"/>
      <c r="G18" s="113"/>
      <c r="H18" s="113"/>
      <c r="I18" s="113"/>
      <c r="J18" s="113"/>
      <c r="K18" s="113"/>
      <c r="L18" s="113"/>
      <c r="M18" s="164"/>
      <c r="N18" s="165"/>
    </row>
    <row r="19" spans="2:13" ht="6.75" customHeight="1" thickBot="1" thickTop="1">
      <c r="B19" s="119"/>
      <c r="C19" s="119"/>
      <c r="D19" s="290"/>
      <c r="E19" s="290"/>
      <c r="F19" s="290"/>
      <c r="G19" s="290"/>
      <c r="H19" s="290"/>
      <c r="I19" s="290"/>
      <c r="J19" s="290"/>
      <c r="K19" s="290"/>
      <c r="L19" s="290"/>
      <c r="M19" s="119"/>
    </row>
    <row r="20" spans="2:14" ht="16.5" thickTop="1">
      <c r="B20" s="311" t="s">
        <v>299</v>
      </c>
      <c r="C20" s="312"/>
      <c r="D20" s="312"/>
      <c r="E20" s="312"/>
      <c r="F20" s="312"/>
      <c r="G20" s="312"/>
      <c r="H20" s="312"/>
      <c r="I20" s="312"/>
      <c r="J20" s="312"/>
      <c r="K20" s="312"/>
      <c r="L20" s="312"/>
      <c r="M20" s="312"/>
      <c r="N20" s="313"/>
    </row>
    <row r="21" spans="2:14" ht="12.75">
      <c r="B21" s="156"/>
      <c r="C21" s="157"/>
      <c r="D21" s="157"/>
      <c r="E21" s="157"/>
      <c r="F21" s="157"/>
      <c r="G21" s="157"/>
      <c r="H21" s="157"/>
      <c r="I21" s="157"/>
      <c r="J21" s="166"/>
      <c r="K21" s="400" t="s">
        <v>129</v>
      </c>
      <c r="L21" s="401"/>
      <c r="M21" s="401"/>
      <c r="N21" s="158"/>
    </row>
    <row r="22" spans="2:14" ht="12.75">
      <c r="B22" s="156"/>
      <c r="C22" s="157"/>
      <c r="D22" s="397" t="s">
        <v>128</v>
      </c>
      <c r="E22" s="397"/>
      <c r="F22" s="397"/>
      <c r="G22" s="397"/>
      <c r="H22" s="397"/>
      <c r="I22" s="160"/>
      <c r="J22" s="166"/>
      <c r="K22" s="401"/>
      <c r="L22" s="401"/>
      <c r="M22" s="401"/>
      <c r="N22" s="158"/>
    </row>
    <row r="23" spans="2:14" ht="13.5" thickBot="1">
      <c r="B23" s="156"/>
      <c r="C23" s="157"/>
      <c r="D23" s="344">
        <f>Attack_Rates!$D$18</f>
        <v>0.09622288942155326</v>
      </c>
      <c r="E23" s="345"/>
      <c r="F23" s="344">
        <f>Attack_Rates!$F$18</f>
        <v>0.14668765087743094</v>
      </c>
      <c r="G23" s="345"/>
      <c r="H23" s="344">
        <f>Attack_Rates!$H$18</f>
        <v>0.1998703022568027</v>
      </c>
      <c r="I23" s="160"/>
      <c r="J23" s="160"/>
      <c r="K23" s="114" t="s">
        <v>301</v>
      </c>
      <c r="L23" s="114"/>
      <c r="M23" s="114" t="s">
        <v>132</v>
      </c>
      <c r="N23" s="158"/>
    </row>
    <row r="24" spans="2:14" ht="13.5" thickTop="1">
      <c r="B24" s="169" t="s">
        <v>137</v>
      </c>
      <c r="C24" s="157"/>
      <c r="D24" s="251">
        <f>'data entry'!W71</f>
        <v>15701616.34</v>
      </c>
      <c r="E24" s="252"/>
      <c r="F24" s="251">
        <f>'data entry'!X71</f>
        <v>24792025.8</v>
      </c>
      <c r="G24" s="252"/>
      <c r="H24" s="251">
        <f>'data entry'!Y71</f>
        <v>34708836.12</v>
      </c>
      <c r="I24" s="161"/>
      <c r="J24" s="166"/>
      <c r="K24" s="166"/>
      <c r="L24" s="166"/>
      <c r="M24" s="166"/>
      <c r="N24" s="158"/>
    </row>
    <row r="25" spans="2:14" ht="12.75">
      <c r="B25" s="169" t="s">
        <v>139</v>
      </c>
      <c r="C25" s="157"/>
      <c r="D25" s="174">
        <f>'data entry'!W74</f>
        <v>12778494.540000001</v>
      </c>
      <c r="E25" s="174"/>
      <c r="F25" s="174">
        <f>'data entry'!X74</f>
        <v>18254992.2</v>
      </c>
      <c r="G25" s="174"/>
      <c r="H25" s="174">
        <f>'data entry'!Y74</f>
        <v>23731489.86</v>
      </c>
      <c r="I25" s="161"/>
      <c r="J25" s="274" t="s">
        <v>137</v>
      </c>
      <c r="K25" s="173">
        <f>'data entry'!Q14</f>
        <v>0.08807588075880757</v>
      </c>
      <c r="L25" s="173"/>
      <c r="M25" s="272">
        <f>'data entry'!AB71</f>
        <v>0.5558525016734613</v>
      </c>
      <c r="N25" s="158"/>
    </row>
    <row r="26" spans="2:14" ht="13.5" thickBot="1">
      <c r="B26" s="169" t="s">
        <v>140</v>
      </c>
      <c r="C26" s="157"/>
      <c r="D26" s="174">
        <f>'data entry'!W77</f>
        <v>777394.3200000001</v>
      </c>
      <c r="E26" s="174"/>
      <c r="F26" s="174">
        <f>'data entry'!X77</f>
        <v>1554788.6400000001</v>
      </c>
      <c r="G26" s="174"/>
      <c r="H26" s="174">
        <f>'data entry'!Y77</f>
        <v>2332182.96</v>
      </c>
      <c r="I26" s="161"/>
      <c r="J26" s="274" t="s">
        <v>139</v>
      </c>
      <c r="K26" s="173">
        <f>'data entry'!R14</f>
        <v>0.17477284874398719</v>
      </c>
      <c r="L26" s="173"/>
      <c r="M26" s="272">
        <f>'data entry'!AB72</f>
        <v>0.409288178556168</v>
      </c>
      <c r="N26" s="158"/>
    </row>
    <row r="27" spans="2:14" ht="14.25" thickBot="1" thickTop="1">
      <c r="B27" s="169" t="s">
        <v>300</v>
      </c>
      <c r="C27" s="157"/>
      <c r="D27" s="253">
        <f>'data entry'!W80</f>
        <v>29257505.200000003</v>
      </c>
      <c r="E27" s="253"/>
      <c r="F27" s="253">
        <f>'data entry'!X80</f>
        <v>44601806.64</v>
      </c>
      <c r="G27" s="253"/>
      <c r="H27" s="253">
        <f>'data entry'!Y80</f>
        <v>60772508.94</v>
      </c>
      <c r="I27" s="161"/>
      <c r="J27" s="274" t="s">
        <v>140</v>
      </c>
      <c r="K27" s="115">
        <f>'data entry'!S14</f>
        <v>0.4917127071823204</v>
      </c>
      <c r="L27" s="115"/>
      <c r="M27" s="273">
        <f>'data entry'!AB73</f>
        <v>0.03485931977037063</v>
      </c>
      <c r="N27" s="158"/>
    </row>
    <row r="28" spans="2:14" ht="13.5" thickTop="1">
      <c r="B28" s="169"/>
      <c r="C28" s="157"/>
      <c r="D28" s="161"/>
      <c r="E28" s="161"/>
      <c r="F28" s="161"/>
      <c r="G28" s="161"/>
      <c r="H28" s="161"/>
      <c r="I28" s="161"/>
      <c r="J28" s="274" t="s">
        <v>114</v>
      </c>
      <c r="K28" s="173">
        <f>'data entry'!T14</f>
        <v>0.1917258253780899</v>
      </c>
      <c r="L28" s="173"/>
      <c r="M28" s="272">
        <f>'data entry'!AB74</f>
        <v>1</v>
      </c>
      <c r="N28" s="158"/>
    </row>
    <row r="29" spans="2:14" ht="13.5" thickBot="1">
      <c r="B29" s="163"/>
      <c r="C29" s="164"/>
      <c r="D29" s="117"/>
      <c r="E29" s="117"/>
      <c r="F29" s="254" t="s">
        <v>303</v>
      </c>
      <c r="G29" s="164"/>
      <c r="H29" s="164"/>
      <c r="I29" s="164"/>
      <c r="J29" s="275"/>
      <c r="K29" s="164"/>
      <c r="L29" s="164"/>
      <c r="M29" s="164"/>
      <c r="N29" s="165"/>
    </row>
    <row r="30" spans="2:13" ht="6.75" customHeight="1" thickBot="1" thickTop="1">
      <c r="B30" s="119"/>
      <c r="C30" s="119"/>
      <c r="D30" s="291"/>
      <c r="E30" s="291"/>
      <c r="F30" s="291"/>
      <c r="G30" s="291"/>
      <c r="H30" s="291"/>
      <c r="I30" s="290"/>
      <c r="J30" s="292"/>
      <c r="K30" s="290"/>
      <c r="L30" s="290"/>
      <c r="M30" s="119"/>
    </row>
    <row r="31" spans="2:14" ht="16.5" thickTop="1">
      <c r="B31" s="311" t="s">
        <v>94</v>
      </c>
      <c r="C31" s="312"/>
      <c r="D31" s="314"/>
      <c r="E31" s="314"/>
      <c r="F31" s="314">
        <f>IF(Deaths!B25=Deaths!AN48,"Sensitivity analysis","")</f>
      </c>
      <c r="G31" s="314"/>
      <c r="H31" s="314"/>
      <c r="I31" s="314"/>
      <c r="J31" s="315"/>
      <c r="K31" s="314"/>
      <c r="L31" s="314"/>
      <c r="M31" s="314"/>
      <c r="N31" s="313"/>
    </row>
    <row r="32" spans="2:14" ht="12.75">
      <c r="B32" s="316"/>
      <c r="C32" s="317"/>
      <c r="D32" s="318"/>
      <c r="E32" s="318"/>
      <c r="F32" s="318"/>
      <c r="G32" s="318"/>
      <c r="H32" s="318"/>
      <c r="I32" s="318"/>
      <c r="J32" s="319"/>
      <c r="K32" s="405" t="s">
        <v>129</v>
      </c>
      <c r="L32" s="406"/>
      <c r="M32" s="406"/>
      <c r="N32" s="407"/>
    </row>
    <row r="33" spans="2:14" ht="12.75">
      <c r="B33" s="316"/>
      <c r="C33" s="317"/>
      <c r="D33" s="404" t="s">
        <v>128</v>
      </c>
      <c r="E33" s="404"/>
      <c r="F33" s="404"/>
      <c r="G33" s="404"/>
      <c r="H33" s="404"/>
      <c r="I33" s="320"/>
      <c r="J33" s="319"/>
      <c r="K33" s="406"/>
      <c r="L33" s="406"/>
      <c r="M33" s="406"/>
      <c r="N33" s="407"/>
    </row>
    <row r="34" spans="2:14" ht="13.5" thickBot="1">
      <c r="B34" s="156"/>
      <c r="C34" s="157"/>
      <c r="D34" s="344">
        <f>Attack_Rates!$D$18</f>
        <v>0.09622288942155326</v>
      </c>
      <c r="E34" s="345"/>
      <c r="F34" s="344">
        <f>Attack_Rates!$F$18</f>
        <v>0.14668765087743094</v>
      </c>
      <c r="G34" s="345"/>
      <c r="H34" s="344">
        <f>Attack_Rates!$H$18</f>
        <v>0.1998703022568027</v>
      </c>
      <c r="I34" s="111"/>
      <c r="J34" s="276"/>
      <c r="K34" s="402" t="s">
        <v>131</v>
      </c>
      <c r="L34" s="403"/>
      <c r="M34" s="403"/>
      <c r="N34" s="158"/>
    </row>
    <row r="35" spans="2:14" ht="13.5" customHeight="1" thickBot="1" thickTop="1">
      <c r="B35" s="156"/>
      <c r="C35" s="157"/>
      <c r="D35" s="166"/>
      <c r="E35" s="166"/>
      <c r="F35" s="166"/>
      <c r="G35" s="166"/>
      <c r="H35" s="166"/>
      <c r="I35" s="166"/>
      <c r="J35" s="276"/>
      <c r="K35" s="266">
        <f>D34</f>
        <v>0.09622288942155326</v>
      </c>
      <c r="L35" s="266">
        <f>F34</f>
        <v>0.14668765087743094</v>
      </c>
      <c r="M35" s="266">
        <f>H34</f>
        <v>0.1998703022568027</v>
      </c>
      <c r="N35" s="168" t="s">
        <v>132</v>
      </c>
    </row>
    <row r="36" spans="2:14" ht="13.5" thickTop="1">
      <c r="B36" s="169" t="s">
        <v>233</v>
      </c>
      <c r="C36" s="170"/>
      <c r="D36" s="171">
        <f>'data entry'!W26</f>
        <v>1129.2065173607891</v>
      </c>
      <c r="E36" s="171"/>
      <c r="F36" s="171">
        <f>'data entry'!X26</f>
        <v>1782.95765899072</v>
      </c>
      <c r="G36" s="171"/>
      <c r="H36" s="171">
        <f>'data entry'!Y26</f>
        <v>2496.1407225870075</v>
      </c>
      <c r="I36" s="172"/>
      <c r="J36" s="274" t="s">
        <v>137</v>
      </c>
      <c r="K36" s="265">
        <f>'data entry'!AA27</f>
        <v>0.08107467491475057</v>
      </c>
      <c r="L36" s="265">
        <f>'data entry'!AB27</f>
        <v>0.08267083241131218</v>
      </c>
      <c r="M36" s="265">
        <f>'data entry'!AC27</f>
        <v>0.08517318490477697</v>
      </c>
      <c r="N36" s="268">
        <f>'data entry'!AD27</f>
        <v>0.1401200549344274</v>
      </c>
    </row>
    <row r="37" spans="2:14" ht="12.75">
      <c r="B37" s="156"/>
      <c r="C37" s="157" t="s">
        <v>309</v>
      </c>
      <c r="D37" s="161">
        <f>'data entry'!W27</f>
        <v>932.6904825349585</v>
      </c>
      <c r="E37" s="161"/>
      <c r="F37" s="161">
        <f>'data entry'!X27</f>
        <v>1472.6691829499346</v>
      </c>
      <c r="G37" s="161"/>
      <c r="H37" s="161">
        <f>'data entry'!Y27</f>
        <v>2061.736856129908</v>
      </c>
      <c r="I37" s="112"/>
      <c r="J37" s="274" t="s">
        <v>139</v>
      </c>
      <c r="K37" s="265">
        <f>'data entry'!AA28</f>
        <v>0.5580401981287638</v>
      </c>
      <c r="L37" s="265">
        <f>'data entry'!AB28</f>
        <v>0.5148336025891975</v>
      </c>
      <c r="M37" s="265">
        <f>'data entry'!AC28</f>
        <v>0.4925301019060212</v>
      </c>
      <c r="N37" s="269">
        <f>'data entry'!AD28</f>
        <v>0.6355970402335772</v>
      </c>
    </row>
    <row r="38" spans="2:14" ht="13.5" thickBot="1">
      <c r="B38" s="156"/>
      <c r="C38" s="157" t="s">
        <v>310</v>
      </c>
      <c r="D38" s="161">
        <f>'data entry'!W28</f>
        <v>1268.9986563324314</v>
      </c>
      <c r="E38" s="161"/>
      <c r="F38" s="161">
        <f>'data entry'!X28</f>
        <v>2003.6820889459445</v>
      </c>
      <c r="G38" s="161"/>
      <c r="H38" s="161">
        <f>'data entry'!Y28</f>
        <v>2805.1549245243223</v>
      </c>
      <c r="I38" s="112"/>
      <c r="J38" s="274" t="s">
        <v>140</v>
      </c>
      <c r="K38" s="270">
        <f>'data entry'!AA29</f>
        <v>0.14065389224251088</v>
      </c>
      <c r="L38" s="270">
        <f>'data entry'!AB29</f>
        <v>0.1816691529139163</v>
      </c>
      <c r="M38" s="270">
        <f>'data entry'!AC29</f>
        <v>0.20053722051284437</v>
      </c>
      <c r="N38" s="271">
        <f>'data entry'!AD29</f>
        <v>0.22428290483199545</v>
      </c>
    </row>
    <row r="39" spans="2:14" ht="13.5" thickTop="1">
      <c r="B39" s="169" t="s">
        <v>234</v>
      </c>
      <c r="C39" s="170"/>
      <c r="D39" s="171">
        <f>'data entry'!W29</f>
        <v>5661.3582403506225</v>
      </c>
      <c r="E39" s="171"/>
      <c r="F39" s="171">
        <f>'data entry'!X29</f>
        <v>8087.654629072317</v>
      </c>
      <c r="G39" s="171"/>
      <c r="H39" s="171">
        <f>'data entry'!Y29</f>
        <v>10513.951017794012</v>
      </c>
      <c r="I39" s="172"/>
      <c r="J39" s="274" t="s">
        <v>114</v>
      </c>
      <c r="K39" s="265">
        <f>'data entry'!AA30</f>
        <v>0.7797687652860252</v>
      </c>
      <c r="L39" s="265">
        <f>'data entry'!AB30</f>
        <v>0.7791735879144259</v>
      </c>
      <c r="M39" s="265">
        <f>'data entry'!AC30</f>
        <v>0.7782405073236426</v>
      </c>
      <c r="N39" s="269">
        <f>'data entry'!AD30</f>
        <v>1</v>
      </c>
    </row>
    <row r="40" spans="2:14" ht="12.75">
      <c r="B40" s="156"/>
      <c r="C40" s="157" t="s">
        <v>309</v>
      </c>
      <c r="D40" s="161">
        <f>'data entry'!W30</f>
        <v>4676.111883433724</v>
      </c>
      <c r="E40" s="161"/>
      <c r="F40" s="161">
        <f>'data entry'!X30</f>
        <v>6680.159833476748</v>
      </c>
      <c r="G40" s="161"/>
      <c r="H40" s="161">
        <f>'data entry'!Y30</f>
        <v>8684.207783519772</v>
      </c>
      <c r="I40" s="112"/>
      <c r="J40" s="276"/>
      <c r="K40" s="166"/>
      <c r="L40" s="166"/>
      <c r="M40" s="166"/>
      <c r="N40" s="158"/>
    </row>
    <row r="41" spans="2:14" ht="12.75">
      <c r="B41" s="156"/>
      <c r="C41" s="157" t="s">
        <v>310</v>
      </c>
      <c r="D41" s="161">
        <f>'data entry'!W31</f>
        <v>6362.214500660613</v>
      </c>
      <c r="E41" s="161"/>
      <c r="F41" s="161">
        <f>'data entry'!X31</f>
        <v>9088.87785808659</v>
      </c>
      <c r="G41" s="161"/>
      <c r="H41" s="161">
        <f>'data entry'!Y31</f>
        <v>11815.541215512565</v>
      </c>
      <c r="I41" s="112"/>
      <c r="J41" s="276"/>
      <c r="K41" s="166"/>
      <c r="L41" s="166"/>
      <c r="M41" s="166"/>
      <c r="N41" s="158"/>
    </row>
    <row r="42" spans="2:14" ht="12.75">
      <c r="B42" s="169" t="s">
        <v>235</v>
      </c>
      <c r="C42" s="170"/>
      <c r="D42" s="171">
        <f>'data entry'!W32</f>
        <v>1426.943927255916</v>
      </c>
      <c r="E42" s="171"/>
      <c r="F42" s="171">
        <f>'data entry'!X32</f>
        <v>2853.887854511832</v>
      </c>
      <c r="G42" s="171"/>
      <c r="H42" s="171">
        <f>'data entry'!Y32</f>
        <v>4280.831781767747</v>
      </c>
      <c r="I42" s="172"/>
      <c r="J42" s="276"/>
      <c r="K42" s="157"/>
      <c r="L42" s="267"/>
      <c r="M42" s="157"/>
      <c r="N42" s="158"/>
    </row>
    <row r="43" spans="2:14" ht="12.75">
      <c r="B43" s="156"/>
      <c r="C43" s="157" t="s">
        <v>309</v>
      </c>
      <c r="D43" s="161">
        <f>'data entry'!W33</f>
        <v>1178.60927841506</v>
      </c>
      <c r="E43" s="161"/>
      <c r="F43" s="161">
        <f>'data entry'!X33</f>
        <v>2357.21855683012</v>
      </c>
      <c r="G43" s="161"/>
      <c r="H43" s="161">
        <f>'data entry'!Y33</f>
        <v>3535.82783524518</v>
      </c>
      <c r="I43" s="112"/>
      <c r="J43" s="276"/>
      <c r="K43" s="166"/>
      <c r="L43" s="166"/>
      <c r="M43" s="157"/>
      <c r="N43" s="158"/>
    </row>
    <row r="44" spans="2:14" ht="13.5" thickBot="1">
      <c r="B44" s="156"/>
      <c r="C44" s="157" t="s">
        <v>310</v>
      </c>
      <c r="D44" s="117">
        <f>'data entry'!W34</f>
        <v>1603.572523865279</v>
      </c>
      <c r="E44" s="117"/>
      <c r="F44" s="117">
        <f>'data entry'!X34</f>
        <v>3207.145047730558</v>
      </c>
      <c r="G44" s="117"/>
      <c r="H44" s="117">
        <f>'data entry'!Y34</f>
        <v>4810.7175715958365</v>
      </c>
      <c r="I44" s="112"/>
      <c r="J44" s="276"/>
      <c r="K44" s="173"/>
      <c r="L44" s="173"/>
      <c r="M44" s="157"/>
      <c r="N44" s="158"/>
    </row>
    <row r="45" spans="2:14" ht="13.5" thickTop="1">
      <c r="B45" s="169" t="s">
        <v>236</v>
      </c>
      <c r="C45" s="170"/>
      <c r="D45" s="171">
        <f>'data entry'!W35</f>
        <v>8217.508684967328</v>
      </c>
      <c r="E45" s="171"/>
      <c r="F45" s="171">
        <f>'data entry'!X35</f>
        <v>12724.500142574869</v>
      </c>
      <c r="G45" s="171"/>
      <c r="H45" s="171">
        <f>'data entry'!Y35</f>
        <v>17290.92352214877</v>
      </c>
      <c r="I45" s="172"/>
      <c r="J45" s="276"/>
      <c r="K45" s="173"/>
      <c r="L45" s="173"/>
      <c r="M45" s="157"/>
      <c r="N45" s="158"/>
    </row>
    <row r="46" spans="2:14" ht="12.75">
      <c r="B46" s="156"/>
      <c r="C46" s="157" t="s">
        <v>313</v>
      </c>
      <c r="D46" s="161">
        <f>'data entry'!W36</f>
        <v>6787.411644383743</v>
      </c>
      <c r="E46" s="161"/>
      <c r="F46" s="161">
        <f>'data entry'!X36</f>
        <v>10510.047573256801</v>
      </c>
      <c r="G46" s="161"/>
      <c r="H46" s="161">
        <f>'data entry'!Y36</f>
        <v>14281.77247489486</v>
      </c>
      <c r="I46" s="112"/>
      <c r="J46" s="276"/>
      <c r="K46" s="173"/>
      <c r="L46" s="173"/>
      <c r="M46" s="157"/>
      <c r="N46" s="158"/>
    </row>
    <row r="47" spans="2:14" ht="12.75">
      <c r="B47" s="156"/>
      <c r="C47" s="157" t="s">
        <v>314</v>
      </c>
      <c r="D47" s="161">
        <f>'data entry'!W37</f>
        <v>9234.785680858324</v>
      </c>
      <c r="E47" s="161"/>
      <c r="F47" s="161">
        <f>'data entry'!X37</f>
        <v>14299.704994763091</v>
      </c>
      <c r="G47" s="161"/>
      <c r="H47" s="161">
        <f>'data entry'!Y37</f>
        <v>19431.413711632726</v>
      </c>
      <c r="I47" s="112"/>
      <c r="J47" s="276"/>
      <c r="K47" s="173"/>
      <c r="L47" s="173"/>
      <c r="M47" s="173"/>
      <c r="N47" s="158"/>
    </row>
    <row r="48" spans="2:14" ht="13.5" thickBot="1">
      <c r="B48" s="163"/>
      <c r="C48" s="164"/>
      <c r="D48" s="109"/>
      <c r="E48" s="109"/>
      <c r="F48" s="109"/>
      <c r="G48" s="109"/>
      <c r="H48" s="109"/>
      <c r="I48" s="109"/>
      <c r="J48" s="277"/>
      <c r="K48" s="113"/>
      <c r="L48" s="113"/>
      <c r="M48" s="113"/>
      <c r="N48" s="165"/>
    </row>
    <row r="49" spans="4:12" ht="6.75" customHeight="1" thickBot="1" thickTop="1">
      <c r="D49" s="293"/>
      <c r="E49" s="293"/>
      <c r="F49" s="293"/>
      <c r="G49" s="293"/>
      <c r="H49" s="293"/>
      <c r="I49" s="293"/>
      <c r="J49" s="294"/>
      <c r="K49" s="293"/>
      <c r="L49" s="293"/>
    </row>
    <row r="50" spans="2:14" ht="16.5" thickTop="1">
      <c r="B50" s="311" t="s">
        <v>95</v>
      </c>
      <c r="C50" s="312"/>
      <c r="D50" s="314"/>
      <c r="E50" s="314"/>
      <c r="F50" s="314"/>
      <c r="G50" s="314"/>
      <c r="H50" s="314"/>
      <c r="I50" s="314"/>
      <c r="J50" s="315"/>
      <c r="K50" s="314"/>
      <c r="L50" s="314"/>
      <c r="M50" s="314"/>
      <c r="N50" s="313"/>
    </row>
    <row r="51" spans="2:14" ht="12.75">
      <c r="B51" s="156"/>
      <c r="C51" s="157"/>
      <c r="D51" s="166"/>
      <c r="E51" s="166"/>
      <c r="F51" s="166"/>
      <c r="G51" s="166"/>
      <c r="H51" s="166"/>
      <c r="I51" s="166"/>
      <c r="J51" s="276"/>
      <c r="K51" s="400" t="s">
        <v>129</v>
      </c>
      <c r="L51" s="401"/>
      <c r="M51" s="401"/>
      <c r="N51" s="408"/>
    </row>
    <row r="52" spans="2:14" ht="12.75">
      <c r="B52" s="156"/>
      <c r="C52" s="157"/>
      <c r="D52" s="397" t="s">
        <v>128</v>
      </c>
      <c r="E52" s="397"/>
      <c r="F52" s="397"/>
      <c r="G52" s="397"/>
      <c r="H52" s="397"/>
      <c r="I52" s="167"/>
      <c r="J52" s="276"/>
      <c r="K52" s="401"/>
      <c r="L52" s="401"/>
      <c r="M52" s="401"/>
      <c r="N52" s="408"/>
    </row>
    <row r="53" spans="2:14" ht="13.5" thickBot="1">
      <c r="B53" s="156"/>
      <c r="C53" s="157"/>
      <c r="D53" s="344">
        <f>Attack_Rates!$D$18</f>
        <v>0.09622288942155326</v>
      </c>
      <c r="E53" s="345"/>
      <c r="F53" s="344">
        <f>Attack_Rates!$F$18</f>
        <v>0.14668765087743094</v>
      </c>
      <c r="G53" s="345"/>
      <c r="H53" s="344">
        <f>Attack_Rates!$H$18</f>
        <v>0.1998703022568027</v>
      </c>
      <c r="I53" s="111"/>
      <c r="J53" s="276"/>
      <c r="K53" s="402" t="s">
        <v>131</v>
      </c>
      <c r="L53" s="403"/>
      <c r="M53" s="403"/>
      <c r="N53" s="158"/>
    </row>
    <row r="54" spans="2:14" ht="15.75" customHeight="1" thickBot="1" thickTop="1">
      <c r="B54" s="156"/>
      <c r="C54" s="157"/>
      <c r="D54" s="166"/>
      <c r="E54" s="166"/>
      <c r="F54" s="166"/>
      <c r="G54" s="166"/>
      <c r="H54" s="166"/>
      <c r="I54" s="166"/>
      <c r="J54" s="276"/>
      <c r="K54" s="266">
        <f>D53</f>
        <v>0.09622288942155326</v>
      </c>
      <c r="L54" s="266">
        <f>F53</f>
        <v>0.14668765087743094</v>
      </c>
      <c r="M54" s="266">
        <f>H53</f>
        <v>0.1998703022568027</v>
      </c>
      <c r="N54" s="168" t="s">
        <v>132</v>
      </c>
    </row>
    <row r="55" spans="2:14" ht="13.5" thickTop="1">
      <c r="B55" s="169" t="s">
        <v>233</v>
      </c>
      <c r="C55" s="170"/>
      <c r="D55" s="171">
        <f>'data entry'!W41</f>
        <v>59738.90727361282</v>
      </c>
      <c r="E55" s="171"/>
      <c r="F55" s="171">
        <f>'data entry'!X41</f>
        <v>94324.59043202024</v>
      </c>
      <c r="G55" s="171"/>
      <c r="H55" s="171">
        <f>'data entry'!Y41</f>
        <v>132054.42660482833</v>
      </c>
      <c r="I55" s="172"/>
      <c r="J55" s="274" t="s">
        <v>137</v>
      </c>
      <c r="K55" s="265">
        <f>'data entry'!AA42</f>
        <v>0.26072501144736876</v>
      </c>
      <c r="L55" s="265">
        <f>'data entry'!AB42</f>
        <v>0.2663091358859443</v>
      </c>
      <c r="M55" s="265">
        <f>'data entry'!AC42</f>
        <v>0.27250913707076524</v>
      </c>
      <c r="N55" s="268">
        <f>'data entry'!AD42</f>
        <v>0.45137141675583775</v>
      </c>
    </row>
    <row r="56" spans="2:14" ht="12.75">
      <c r="B56" s="156"/>
      <c r="C56" s="157" t="s">
        <v>309</v>
      </c>
      <c r="D56" s="174">
        <f>'data entry'!W42</f>
        <v>49343.44604332441</v>
      </c>
      <c r="E56" s="174"/>
      <c r="F56" s="174">
        <f>'data entry'!X42</f>
        <v>77910.70427893328</v>
      </c>
      <c r="G56" s="174"/>
      <c r="H56" s="174">
        <f>'data entry'!Y42</f>
        <v>109074.98599050658</v>
      </c>
      <c r="I56" s="112"/>
      <c r="J56" s="274" t="s">
        <v>139</v>
      </c>
      <c r="K56" s="265">
        <f>'data entry'!AA43</f>
        <v>0.3800245139999613</v>
      </c>
      <c r="L56" s="265">
        <f>'data entry'!AB43</f>
        <v>0.351195779974647</v>
      </c>
      <c r="M56" s="265">
        <f>'data entry'!AC43</f>
        <v>0.3337026138358832</v>
      </c>
      <c r="N56" s="269">
        <f>'data entry'!AD43</f>
        <v>0.4335750370057371</v>
      </c>
    </row>
    <row r="57" spans="2:14" ht="13.5" thickBot="1">
      <c r="B57" s="156"/>
      <c r="C57" s="157" t="s">
        <v>310</v>
      </c>
      <c r="D57" s="174">
        <f>'data entry'!W43</f>
        <v>67133.49988195262</v>
      </c>
      <c r="E57" s="174"/>
      <c r="F57" s="174">
        <f>'data entry'!X43</f>
        <v>106000.26297150414</v>
      </c>
      <c r="G57" s="174"/>
      <c r="H57" s="174">
        <f>'data entry'!Y43</f>
        <v>148400.36816010578</v>
      </c>
      <c r="I57" s="112"/>
      <c r="J57" s="274" t="s">
        <v>140</v>
      </c>
      <c r="K57" s="270">
        <f>'data entry'!AA44</f>
        <v>0.07203097875873572</v>
      </c>
      <c r="L57" s="270">
        <f>'data entry'!AB44</f>
        <v>0.09319337245312444</v>
      </c>
      <c r="M57" s="270">
        <f>'data entry'!AC44</f>
        <v>0.10217467255848987</v>
      </c>
      <c r="N57" s="271">
        <f>'data entry'!AD44</f>
        <v>0.11505354623842523</v>
      </c>
    </row>
    <row r="58" spans="2:14" ht="13.5" thickTop="1">
      <c r="B58" s="169" t="s">
        <v>234</v>
      </c>
      <c r="C58" s="170"/>
      <c r="D58" s="171">
        <f>'data entry'!W44</f>
        <v>63423.93511919176</v>
      </c>
      <c r="E58" s="171"/>
      <c r="F58" s="171">
        <f>'data entry'!X44</f>
        <v>90605.62159884536</v>
      </c>
      <c r="G58" s="171"/>
      <c r="H58" s="171">
        <f>'data entry'!Y44</f>
        <v>117787.30807849897</v>
      </c>
      <c r="I58" s="172"/>
      <c r="J58" s="274" t="s">
        <v>114</v>
      </c>
      <c r="K58" s="265">
        <f>'data entry'!AA45</f>
        <v>0.7127805042060659</v>
      </c>
      <c r="L58" s="265">
        <f>'data entry'!AB45</f>
        <v>0.7106982883137157</v>
      </c>
      <c r="M58" s="265">
        <f>'data entry'!AC45</f>
        <v>0.7083864234651384</v>
      </c>
      <c r="N58" s="269">
        <f>'data entry'!AD45</f>
        <v>1</v>
      </c>
    </row>
    <row r="59" spans="2:14" ht="12.75">
      <c r="B59" s="156"/>
      <c r="C59" s="157" t="s">
        <v>309</v>
      </c>
      <c r="D59" s="174">
        <f>'data entry'!W45</f>
        <v>52379.5555633865</v>
      </c>
      <c r="E59" s="174"/>
      <c r="F59" s="174">
        <f>'data entry'!X45</f>
        <v>74827.93651912357</v>
      </c>
      <c r="G59" s="174"/>
      <c r="H59" s="174">
        <f>'data entry'!Y45</f>
        <v>97276.31747486064</v>
      </c>
      <c r="I59" s="112"/>
      <c r="J59" s="276"/>
      <c r="K59" s="166"/>
      <c r="L59" s="166"/>
      <c r="M59" s="166"/>
      <c r="N59" s="158"/>
    </row>
    <row r="60" spans="2:14" ht="12.75">
      <c r="B60" s="156"/>
      <c r="C60" s="157" t="s">
        <v>310</v>
      </c>
      <c r="D60" s="174">
        <f>'data entry'!W46</f>
        <v>71278.96676938768</v>
      </c>
      <c r="E60" s="174"/>
      <c r="F60" s="174">
        <f>'data entry'!X46</f>
        <v>101827.09538483954</v>
      </c>
      <c r="G60" s="174"/>
      <c r="H60" s="174">
        <f>'data entry'!Y46</f>
        <v>132375.2240002914</v>
      </c>
      <c r="I60" s="112"/>
      <c r="J60" s="276"/>
      <c r="K60" s="166"/>
      <c r="L60" s="166"/>
      <c r="M60" s="166"/>
      <c r="N60" s="158"/>
    </row>
    <row r="61" spans="2:14" ht="12.75">
      <c r="B61" s="169" t="s">
        <v>235</v>
      </c>
      <c r="C61" s="170"/>
      <c r="D61" s="171">
        <f>'data entry'!W47</f>
        <v>12021.561649484536</v>
      </c>
      <c r="E61" s="171"/>
      <c r="F61" s="171">
        <f>'data entry'!X47</f>
        <v>24043.123298969072</v>
      </c>
      <c r="G61" s="171"/>
      <c r="H61" s="171">
        <f>'data entry'!Y47</f>
        <v>36064.68494845361</v>
      </c>
      <c r="I61" s="172"/>
      <c r="J61" s="276"/>
      <c r="K61" s="166"/>
      <c r="L61" s="166"/>
      <c r="M61" s="166"/>
      <c r="N61" s="158"/>
    </row>
    <row r="62" spans="2:14" ht="12.75">
      <c r="B62" s="156"/>
      <c r="C62" s="157" t="s">
        <v>309</v>
      </c>
      <c r="D62" s="174">
        <f>'data entry'!W48</f>
        <v>9926.353233067528</v>
      </c>
      <c r="E62" s="174"/>
      <c r="F62" s="174">
        <f>'data entry'!X48</f>
        <v>19852.706466135056</v>
      </c>
      <c r="G62" s="174"/>
      <c r="H62" s="174">
        <f>'data entry'!Y48</f>
        <v>29779.059699202582</v>
      </c>
      <c r="I62" s="112"/>
      <c r="J62" s="276"/>
      <c r="K62" s="166"/>
      <c r="L62" s="166"/>
      <c r="M62" s="166"/>
      <c r="N62" s="158"/>
    </row>
    <row r="63" spans="2:14" ht="13.5" thickBot="1">
      <c r="B63" s="156"/>
      <c r="C63" s="157" t="s">
        <v>310</v>
      </c>
      <c r="D63" s="116">
        <f>'data entry'!W49</f>
        <v>13514.30523178808</v>
      </c>
      <c r="E63" s="116"/>
      <c r="F63" s="116">
        <f>'data entry'!X49</f>
        <v>27028.61046357616</v>
      </c>
      <c r="G63" s="116"/>
      <c r="H63" s="116">
        <f>'data entry'!Y49</f>
        <v>40542.91569536424</v>
      </c>
      <c r="I63" s="112"/>
      <c r="J63" s="276"/>
      <c r="K63" s="166"/>
      <c r="L63" s="166"/>
      <c r="M63" s="166"/>
      <c r="N63" s="158"/>
    </row>
    <row r="64" spans="2:14" ht="13.5" thickTop="1">
      <c r="B64" s="169" t="s">
        <v>236</v>
      </c>
      <c r="C64" s="170"/>
      <c r="D64" s="171">
        <f>'data entry'!W50</f>
        <v>135184.40404228913</v>
      </c>
      <c r="E64" s="171"/>
      <c r="F64" s="171">
        <f>'data entry'!X50</f>
        <v>208973.33532983466</v>
      </c>
      <c r="G64" s="171"/>
      <c r="H64" s="171">
        <f>'data entry'!Y50</f>
        <v>285906.41963178094</v>
      </c>
      <c r="I64" s="172"/>
      <c r="J64" s="276"/>
      <c r="K64" s="166"/>
      <c r="L64" s="166"/>
      <c r="M64" s="166"/>
      <c r="N64" s="158"/>
    </row>
    <row r="65" spans="2:14" ht="12.75">
      <c r="B65" s="156"/>
      <c r="C65" s="157" t="s">
        <v>313</v>
      </c>
      <c r="D65" s="174">
        <f>'data entry'!W51</f>
        <v>111649.35483977843</v>
      </c>
      <c r="E65" s="174"/>
      <c r="F65" s="174">
        <f>'data entry'!X51</f>
        <v>172591.3472641919</v>
      </c>
      <c r="G65" s="174"/>
      <c r="H65" s="174">
        <f>'data entry'!Y51</f>
        <v>236130.36316456983</v>
      </c>
      <c r="I65" s="112"/>
      <c r="J65" s="276"/>
      <c r="K65" s="166"/>
      <c r="L65" s="166"/>
      <c r="M65" s="166"/>
      <c r="N65" s="158"/>
    </row>
    <row r="66" spans="2:14" ht="12.75">
      <c r="B66" s="156"/>
      <c r="C66" s="157" t="s">
        <v>314</v>
      </c>
      <c r="D66" s="174">
        <f>'data entry'!W52</f>
        <v>151926.7718831284</v>
      </c>
      <c r="E66" s="174"/>
      <c r="F66" s="174">
        <f>'data entry'!X52</f>
        <v>234855.96881991986</v>
      </c>
      <c r="G66" s="174"/>
      <c r="H66" s="174">
        <f>'data entry'!Y52</f>
        <v>321318.50785576145</v>
      </c>
      <c r="I66" s="112"/>
      <c r="J66" s="276"/>
      <c r="K66" s="166"/>
      <c r="L66" s="166"/>
      <c r="M66" s="166"/>
      <c r="N66" s="158"/>
    </row>
    <row r="67" spans="2:14" ht="6" customHeight="1" thickBot="1">
      <c r="B67" s="163"/>
      <c r="C67" s="164"/>
      <c r="D67" s="109"/>
      <c r="E67" s="109"/>
      <c r="F67" s="109"/>
      <c r="G67" s="109"/>
      <c r="H67" s="109"/>
      <c r="I67" s="109"/>
      <c r="J67" s="277"/>
      <c r="K67" s="113"/>
      <c r="L67" s="113"/>
      <c r="M67" s="113"/>
      <c r="N67" s="165"/>
    </row>
    <row r="68" ht="9.75" customHeight="1" thickBot="1" thickTop="1">
      <c r="J68" s="123"/>
    </row>
    <row r="69" spans="2:14" ht="16.5" thickTop="1">
      <c r="B69" s="339" t="s">
        <v>96</v>
      </c>
      <c r="C69" s="299"/>
      <c r="D69" s="340"/>
      <c r="E69" s="340"/>
      <c r="F69" s="340"/>
      <c r="G69" s="340"/>
      <c r="H69" s="340"/>
      <c r="I69" s="340"/>
      <c r="J69" s="341"/>
      <c r="K69" s="340"/>
      <c r="L69" s="340"/>
      <c r="M69" s="340"/>
      <c r="N69" s="342"/>
    </row>
    <row r="70" spans="2:14" ht="12.75">
      <c r="B70" s="156"/>
      <c r="C70" s="157"/>
      <c r="D70" s="166"/>
      <c r="E70" s="166"/>
      <c r="F70" s="166"/>
      <c r="G70" s="166"/>
      <c r="H70" s="166"/>
      <c r="I70" s="166"/>
      <c r="J70" s="276"/>
      <c r="K70" s="400" t="s">
        <v>129</v>
      </c>
      <c r="L70" s="401"/>
      <c r="M70" s="401"/>
      <c r="N70" s="408"/>
    </row>
    <row r="71" spans="2:14" ht="12.75">
      <c r="B71" s="156"/>
      <c r="C71" s="157"/>
      <c r="D71" s="397" t="s">
        <v>128</v>
      </c>
      <c r="E71" s="397"/>
      <c r="F71" s="397"/>
      <c r="G71" s="397"/>
      <c r="H71" s="397"/>
      <c r="I71" s="167"/>
      <c r="J71" s="276"/>
      <c r="K71" s="401"/>
      <c r="L71" s="401"/>
      <c r="M71" s="401"/>
      <c r="N71" s="408"/>
    </row>
    <row r="72" spans="2:14" ht="13.5" thickBot="1">
      <c r="B72" s="156"/>
      <c r="C72" s="157"/>
      <c r="D72" s="344">
        <f>Attack_Rates!$D$18</f>
        <v>0.09622288942155326</v>
      </c>
      <c r="E72" s="345"/>
      <c r="F72" s="344">
        <f>Attack_Rates!$F$18</f>
        <v>0.14668765087743094</v>
      </c>
      <c r="G72" s="345"/>
      <c r="H72" s="344">
        <f>Attack_Rates!$H$18</f>
        <v>0.1998703022568027</v>
      </c>
      <c r="I72" s="111"/>
      <c r="J72" s="276"/>
      <c r="K72" s="402" t="s">
        <v>131</v>
      </c>
      <c r="L72" s="403"/>
      <c r="M72" s="403"/>
      <c r="N72" s="158"/>
    </row>
    <row r="73" spans="2:14" ht="13.5" customHeight="1" thickBot="1" thickTop="1">
      <c r="B73" s="156"/>
      <c r="C73" s="157"/>
      <c r="D73" s="166"/>
      <c r="E73" s="166"/>
      <c r="F73" s="166"/>
      <c r="G73" s="166"/>
      <c r="H73" s="166"/>
      <c r="I73" s="166"/>
      <c r="J73" s="276"/>
      <c r="K73" s="266">
        <f>D72</f>
        <v>0.09622288942155326</v>
      </c>
      <c r="L73" s="266">
        <f>F72</f>
        <v>0.14668765087743094</v>
      </c>
      <c r="M73" s="266">
        <f>H72</f>
        <v>0.1998703022568027</v>
      </c>
      <c r="N73" s="168" t="s">
        <v>132</v>
      </c>
    </row>
    <row r="74" spans="2:14" ht="13.5" thickTop="1">
      <c r="B74" s="169" t="s">
        <v>233</v>
      </c>
      <c r="C74" s="170"/>
      <c r="D74" s="171">
        <f>'data entry'!W56</f>
        <v>8528254.19423027</v>
      </c>
      <c r="E74" s="171"/>
      <c r="F74" s="171">
        <f>'data entry'!X56</f>
        <v>13465664.51720569</v>
      </c>
      <c r="G74" s="171"/>
      <c r="H74" s="171">
        <f>'data entry'!Y56</f>
        <v>18851930.324087963</v>
      </c>
      <c r="I74" s="172"/>
      <c r="J74" s="274" t="s">
        <v>137</v>
      </c>
      <c r="K74" s="265">
        <f>'data entry'!AA57</f>
        <v>0.08796867392329226</v>
      </c>
      <c r="L74" s="265">
        <f>'data entry'!AB57</f>
        <v>0.09038964744799265</v>
      </c>
      <c r="M74" s="265">
        <f>'data entry'!AC57</f>
        <v>0.09236368557090839</v>
      </c>
      <c r="N74" s="268">
        <f>'data entry'!AD57</f>
        <v>0.6252534910513969</v>
      </c>
    </row>
    <row r="75" spans="2:14" ht="12.75">
      <c r="B75" s="156"/>
      <c r="C75" s="157" t="s">
        <v>309</v>
      </c>
      <c r="D75" s="174">
        <f>'data entry'!W57</f>
        <v>7885019.821862765</v>
      </c>
      <c r="E75" s="174"/>
      <c r="F75" s="174">
        <f>'data entry'!X57</f>
        <v>12450031.29767805</v>
      </c>
      <c r="G75" s="174"/>
      <c r="H75" s="174">
        <f>'data entry'!Y57</f>
        <v>17430043.816749267</v>
      </c>
      <c r="I75" s="112"/>
      <c r="J75" s="274" t="s">
        <v>139</v>
      </c>
      <c r="K75" s="265">
        <f>'data entry'!AA58</f>
        <v>0.09800181393410676</v>
      </c>
      <c r="L75" s="265">
        <f>'data entry'!AB58</f>
        <v>0.09110853589678292</v>
      </c>
      <c r="M75" s="265">
        <f>'data entry'!AC58</f>
        <v>0.08644839726023378</v>
      </c>
      <c r="N75" s="269">
        <f>'data entry'!AD58</f>
        <v>0.33698039471560104</v>
      </c>
    </row>
    <row r="76" spans="2:14" ht="13.5" thickBot="1">
      <c r="B76" s="156"/>
      <c r="C76" s="157" t="s">
        <v>310</v>
      </c>
      <c r="D76" s="174">
        <f>'data entry'!W58</f>
        <v>9171488.566597778</v>
      </c>
      <c r="E76" s="174"/>
      <c r="F76" s="174">
        <f>'data entry'!X58</f>
        <v>14481297.736733334</v>
      </c>
      <c r="G76" s="174"/>
      <c r="H76" s="174">
        <f>'data entry'!Y58</f>
        <v>20273816.831426665</v>
      </c>
      <c r="I76" s="112"/>
      <c r="J76" s="274" t="s">
        <v>140</v>
      </c>
      <c r="K76" s="270">
        <f>'data entry'!AA59</f>
        <v>0.01824669674387928</v>
      </c>
      <c r="L76" s="270">
        <f>'data entry'!AB59</f>
        <v>0.023748557929420384</v>
      </c>
      <c r="M76" s="270">
        <f>'data entry'!AC59</f>
        <v>0.026000579545875396</v>
      </c>
      <c r="N76" s="271">
        <f>'data entry'!AD59</f>
        <v>0.03776611423300195</v>
      </c>
    </row>
    <row r="77" spans="2:14" ht="13.5" thickTop="1">
      <c r="B77" s="169" t="s">
        <v>234</v>
      </c>
      <c r="C77" s="170"/>
      <c r="D77" s="171">
        <f>'data entry'!W59</f>
        <v>5080124.311724927</v>
      </c>
      <c r="E77" s="171"/>
      <c r="F77" s="171">
        <f>'data entry'!X59</f>
        <v>7257320.445321324</v>
      </c>
      <c r="G77" s="171"/>
      <c r="H77" s="171">
        <f>'data entry'!Y59</f>
        <v>9434516.578917721</v>
      </c>
      <c r="I77" s="172"/>
      <c r="J77" s="274" t="s">
        <v>114</v>
      </c>
      <c r="K77" s="265">
        <f>'data entry'!AA60</f>
        <v>0.20421718460127827</v>
      </c>
      <c r="L77" s="265">
        <f>'data entry'!AB60</f>
        <v>0.20524674127419595</v>
      </c>
      <c r="M77" s="265">
        <f>'data entry'!AC60</f>
        <v>0.20481266237701756</v>
      </c>
      <c r="N77" s="269">
        <f>'data entry'!AD60</f>
        <v>0.9999999999999999</v>
      </c>
    </row>
    <row r="78" spans="2:14" ht="12.75">
      <c r="B78" s="156"/>
      <c r="C78" s="157" t="s">
        <v>309</v>
      </c>
      <c r="D78" s="174">
        <f>'data entry'!W60</f>
        <v>4813572.155173822</v>
      </c>
      <c r="E78" s="174"/>
      <c r="F78" s="174">
        <f>'data entry'!X60</f>
        <v>6876531.650248317</v>
      </c>
      <c r="G78" s="174"/>
      <c r="H78" s="174">
        <f>'data entry'!Y60</f>
        <v>8939491.145322813</v>
      </c>
      <c r="I78" s="112"/>
      <c r="J78" s="276"/>
      <c r="K78" s="166"/>
      <c r="L78" s="166"/>
      <c r="M78" s="166"/>
      <c r="N78" s="158"/>
    </row>
    <row r="79" spans="2:14" ht="12.75">
      <c r="B79" s="156"/>
      <c r="C79" s="157" t="s">
        <v>310</v>
      </c>
      <c r="D79" s="174">
        <f>'data entry'!W61</f>
        <v>5346676.468276035</v>
      </c>
      <c r="E79" s="174"/>
      <c r="F79" s="174">
        <f>'data entry'!X61</f>
        <v>7638109.240394334</v>
      </c>
      <c r="G79" s="174"/>
      <c r="H79" s="174">
        <f>'data entry'!Y61</f>
        <v>9929542.012512635</v>
      </c>
      <c r="I79" s="112"/>
      <c r="J79" s="166"/>
      <c r="K79" s="166"/>
      <c r="L79" s="166"/>
      <c r="M79" s="166"/>
      <c r="N79" s="158"/>
    </row>
    <row r="80" spans="2:14" ht="12.75">
      <c r="B80" s="169" t="s">
        <v>235</v>
      </c>
      <c r="C80" s="170"/>
      <c r="D80" s="171">
        <f>'data entry'!W62</f>
        <v>406671.7192773481</v>
      </c>
      <c r="E80" s="171"/>
      <c r="F80" s="171">
        <f>'data entry'!X62</f>
        <v>813343.4385546962</v>
      </c>
      <c r="G80" s="171"/>
      <c r="H80" s="171">
        <f>'data entry'!Y62</f>
        <v>1220015.1578320442</v>
      </c>
      <c r="I80" s="172"/>
      <c r="J80" s="166"/>
      <c r="K80" s="166"/>
      <c r="L80" s="166"/>
      <c r="M80" s="166"/>
      <c r="N80" s="158"/>
    </row>
    <row r="81" spans="2:14" ht="12.75">
      <c r="B81" s="156"/>
      <c r="C81" s="157" t="s">
        <v>309</v>
      </c>
      <c r="D81" s="174">
        <f>'data entry'!W63</f>
        <v>398936.431043536</v>
      </c>
      <c r="E81" s="174"/>
      <c r="F81" s="174">
        <f>'data entry'!X63</f>
        <v>797872.862087072</v>
      </c>
      <c r="G81" s="174"/>
      <c r="H81" s="174">
        <f>'data entry'!Y63</f>
        <v>1196809.2931306078</v>
      </c>
      <c r="I81" s="112"/>
      <c r="J81" s="166"/>
      <c r="K81" s="166"/>
      <c r="L81" s="166"/>
      <c r="M81" s="166"/>
      <c r="N81" s="158"/>
    </row>
    <row r="82" spans="2:14" ht="13.5" thickBot="1">
      <c r="B82" s="156"/>
      <c r="C82" s="157" t="s">
        <v>310</v>
      </c>
      <c r="D82" s="116">
        <f>'data entry'!W64</f>
        <v>414407.0075111603</v>
      </c>
      <c r="E82" s="116"/>
      <c r="F82" s="116">
        <f>'data entry'!X64</f>
        <v>828814.0150223206</v>
      </c>
      <c r="G82" s="116"/>
      <c r="H82" s="116">
        <f>'data entry'!Y64</f>
        <v>1243221.0225334808</v>
      </c>
      <c r="I82" s="112"/>
      <c r="J82" s="166"/>
      <c r="K82" s="166"/>
      <c r="L82" s="166"/>
      <c r="M82" s="166"/>
      <c r="N82" s="158"/>
    </row>
    <row r="83" spans="2:14" ht="13.5" thickTop="1">
      <c r="B83" s="169" t="s">
        <v>236</v>
      </c>
      <c r="C83" s="170"/>
      <c r="D83" s="171">
        <f>'data entry'!W65</f>
        <v>14015050.225232545</v>
      </c>
      <c r="E83" s="171"/>
      <c r="F83" s="171">
        <f>'data entry'!X65</f>
        <v>21536328.40108171</v>
      </c>
      <c r="G83" s="171"/>
      <c r="H83" s="171">
        <f>'data entry'!Y65</f>
        <v>29506462.060837727</v>
      </c>
      <c r="I83" s="172"/>
      <c r="J83" s="166"/>
      <c r="K83" s="166"/>
      <c r="L83" s="166"/>
      <c r="M83" s="166"/>
      <c r="N83" s="158"/>
    </row>
    <row r="84" spans="2:14" ht="12.75">
      <c r="B84" s="156"/>
      <c r="C84" s="157" t="s">
        <v>313</v>
      </c>
      <c r="D84" s="174">
        <f>'data entry'!W66</f>
        <v>13097528.408080123</v>
      </c>
      <c r="E84" s="174"/>
      <c r="F84" s="174">
        <f>'data entry'!X66</f>
        <v>20124435.810013436</v>
      </c>
      <c r="G84" s="174"/>
      <c r="H84" s="174">
        <f>'data entry'!Y66</f>
        <v>27566344.25520269</v>
      </c>
      <c r="I84" s="112"/>
      <c r="J84" s="166"/>
      <c r="K84" s="166"/>
      <c r="L84" s="166"/>
      <c r="M84" s="166"/>
      <c r="N84" s="158"/>
    </row>
    <row r="85" spans="2:14" ht="13.5" thickBot="1">
      <c r="B85" s="163"/>
      <c r="C85" s="164" t="s">
        <v>314</v>
      </c>
      <c r="D85" s="116">
        <f>'data entry'!W67</f>
        <v>14932572.042384973</v>
      </c>
      <c r="E85" s="116"/>
      <c r="F85" s="116">
        <f>'data entry'!X67</f>
        <v>22948220.992149986</v>
      </c>
      <c r="G85" s="116"/>
      <c r="H85" s="116">
        <f>'data entry'!Y67</f>
        <v>31446579.86647278</v>
      </c>
      <c r="I85" s="110"/>
      <c r="J85" s="113"/>
      <c r="K85" s="113"/>
      <c r="L85" s="113"/>
      <c r="M85" s="113"/>
      <c r="N85" s="165"/>
    </row>
    <row r="86" ht="13.5" thickTop="1"/>
  </sheetData>
  <sheetProtection/>
  <mergeCells count="12">
    <mergeCell ref="K72:M72"/>
    <mergeCell ref="K32:N33"/>
    <mergeCell ref="K51:N52"/>
    <mergeCell ref="K70:N71"/>
    <mergeCell ref="K21:M22"/>
    <mergeCell ref="K34:M34"/>
    <mergeCell ref="D71:H71"/>
    <mergeCell ref="E7:J9"/>
    <mergeCell ref="D52:H52"/>
    <mergeCell ref="D33:H33"/>
    <mergeCell ref="D22:H22"/>
    <mergeCell ref="K53:M53"/>
  </mergeCells>
  <printOptions/>
  <pageMargins left="0.75" right="0.75" top="1" bottom="1" header="0.5" footer="0.5"/>
  <pageSetup fitToHeight="1" fitToWidth="1" horizontalDpi="600" verticalDpi="600" orientation="portrait" scale="61" r:id="rId3"/>
  <drawing r:id="rId2"/>
  <legacyDrawing r:id="rId1"/>
</worksheet>
</file>

<file path=xl/worksheets/sheet14.xml><?xml version="1.0" encoding="utf-8"?>
<worksheet xmlns="http://schemas.openxmlformats.org/spreadsheetml/2006/main" xmlns:r="http://schemas.openxmlformats.org/officeDocument/2006/relationships">
  <sheetPr codeName="Sheet19">
    <tabColor indexed="51"/>
    <pageSetUpPr fitToPage="1"/>
  </sheetPr>
  <dimension ref="A1:A1"/>
  <sheetViews>
    <sheetView showRowColHeaders="0" zoomScalePageLayoutView="0" workbookViewId="0" topLeftCell="A1">
      <selection activeCell="O23" sqref="O23"/>
    </sheetView>
  </sheetViews>
  <sheetFormatPr defaultColWidth="9.140625" defaultRowHeight="12.75"/>
  <cols>
    <col min="1" max="1" width="3.421875" style="5" customWidth="1"/>
    <col min="2" max="2" width="9.140625" style="5" customWidth="1"/>
    <col min="3" max="3" width="13.7109375" style="5" customWidth="1"/>
    <col min="4" max="4" width="14.57421875" style="5" customWidth="1"/>
    <col min="5" max="5" width="3.8515625" style="5" customWidth="1"/>
    <col min="6" max="6" width="15.421875" style="5" bestFit="1" customWidth="1"/>
    <col min="7" max="7" width="3.7109375" style="5" customWidth="1"/>
    <col min="8" max="8" width="14.421875" style="5" bestFit="1" customWidth="1"/>
    <col min="9" max="9" width="5.57421875" style="5" customWidth="1"/>
    <col min="10" max="10" width="10.28125" style="5" customWidth="1"/>
    <col min="11" max="11" width="10.140625" style="5" customWidth="1"/>
    <col min="12" max="12" width="7.28125" style="5" customWidth="1"/>
    <col min="13" max="13" width="10.8515625" style="5" customWidth="1"/>
    <col min="14" max="16384" width="9.140625" style="5" customWidth="1"/>
  </cols>
  <sheetData>
    <row r="1" s="1" customFormat="1" ht="12.75"/>
    <row r="2" s="1" customFormat="1" ht="12.75"/>
    <row r="3" s="1" customFormat="1" ht="12.75"/>
    <row r="4" s="1" customFormat="1" ht="12.75"/>
    <row r="16" ht="12.75" customHeight="1"/>
    <row r="19" ht="7.5" customHeight="1"/>
    <row r="37" ht="12.75" customHeight="1"/>
    <row r="40" ht="6" customHeight="1"/>
    <row r="58" ht="12.75" customHeight="1"/>
    <row r="61" ht="6" customHeight="1"/>
  </sheetData>
  <sheetProtection/>
  <printOptions/>
  <pageMargins left="0.75" right="0.75" top="1" bottom="1" header="0.5" footer="0.5"/>
  <pageSetup fitToHeight="1" fitToWidth="1" horizontalDpi="600" verticalDpi="600" orientation="landscape" scale="50" r:id="rId3"/>
  <drawing r:id="rId2"/>
  <legacyDrawing r:id="rId1"/>
</worksheet>
</file>

<file path=xl/worksheets/sheet15.xml><?xml version="1.0" encoding="utf-8"?>
<worksheet xmlns="http://schemas.openxmlformats.org/spreadsheetml/2006/main" xmlns:r="http://schemas.openxmlformats.org/officeDocument/2006/relationships">
  <sheetPr codeName="Sheet13">
    <pageSetUpPr fitToPage="1"/>
  </sheetPr>
  <dimension ref="A1:AD91"/>
  <sheetViews>
    <sheetView zoomScaleSheetLayoutView="75" zoomScalePageLayoutView="0" workbookViewId="0" topLeftCell="T48">
      <selection activeCell="T59" sqref="T59"/>
    </sheetView>
  </sheetViews>
  <sheetFormatPr defaultColWidth="9.140625" defaultRowHeight="12.75"/>
  <cols>
    <col min="2" max="2" width="11.8515625" style="0" customWidth="1"/>
    <col min="3" max="3" width="12.00390625" style="0" customWidth="1"/>
    <col min="4" max="4" width="12.28125" style="0" customWidth="1"/>
    <col min="5" max="5" width="23.8515625" style="0" customWidth="1"/>
    <col min="6" max="7" width="16.421875" style="0" customWidth="1"/>
    <col min="16" max="16" width="11.8515625" style="0" customWidth="1"/>
    <col min="17" max="17" width="12.00390625" style="0" customWidth="1"/>
    <col min="18" max="18" width="12.28125" style="0" customWidth="1"/>
    <col min="19" max="19" width="23.8515625" style="0" customWidth="1"/>
    <col min="20" max="21" width="16.421875" style="0" customWidth="1"/>
    <col min="22" max="22" width="22.421875" style="0" customWidth="1"/>
    <col min="23" max="23" width="12.421875" style="0" customWidth="1"/>
    <col min="24" max="24" width="13.7109375" style="0" customWidth="1"/>
    <col min="25" max="25" width="14.28125" style="0" customWidth="1"/>
    <col min="26" max="26" width="14.7109375" style="0" customWidth="1"/>
    <col min="27" max="27" width="12.57421875" style="0" customWidth="1"/>
    <col min="28" max="28" width="17.7109375" style="0" customWidth="1"/>
    <col min="30" max="30" width="10.421875" style="0" customWidth="1"/>
  </cols>
  <sheetData>
    <row r="1" spans="1:16" ht="12.75">
      <c r="A1" s="101" t="s">
        <v>99</v>
      </c>
      <c r="B1" s="21" t="s">
        <v>222</v>
      </c>
      <c r="O1" s="20" t="s">
        <v>99</v>
      </c>
      <c r="P1" s="21" t="s">
        <v>100</v>
      </c>
    </row>
    <row r="2" spans="1:18" ht="12.75">
      <c r="A2" s="101" t="s">
        <v>101</v>
      </c>
      <c r="B2" s="95" t="s">
        <v>102</v>
      </c>
      <c r="C2" s="95"/>
      <c r="D2" s="95" t="s">
        <v>103</v>
      </c>
      <c r="O2" s="20" t="s">
        <v>101</v>
      </c>
      <c r="P2" s="22" t="s">
        <v>102</v>
      </c>
      <c r="Q2" s="22"/>
      <c r="R2" s="22" t="s">
        <v>103</v>
      </c>
    </row>
    <row r="3" spans="1:18" ht="12.75">
      <c r="A3" s="101"/>
      <c r="B3" s="95" t="s">
        <v>104</v>
      </c>
      <c r="C3" s="95" t="s">
        <v>105</v>
      </c>
      <c r="D3" s="95"/>
      <c r="P3" s="102">
        <f ca="1">TODAY()</f>
        <v>40165</v>
      </c>
      <c r="Q3" s="103" t="s">
        <v>223</v>
      </c>
      <c r="R3" s="22"/>
    </row>
    <row r="4" ht="12.75">
      <c r="A4" s="101"/>
    </row>
    <row r="5" spans="1:16" ht="12.75">
      <c r="A5" s="101" t="s">
        <v>106</v>
      </c>
      <c r="B5" s="21" t="s">
        <v>107</v>
      </c>
      <c r="O5" s="20" t="s">
        <v>106</v>
      </c>
      <c r="P5" s="21" t="s">
        <v>107</v>
      </c>
    </row>
    <row r="6" spans="1:21" ht="12.75">
      <c r="A6" s="101" t="s">
        <v>101</v>
      </c>
      <c r="B6" t="s">
        <v>108</v>
      </c>
      <c r="O6" s="20" t="s">
        <v>101</v>
      </c>
      <c r="P6" t="s">
        <v>108</v>
      </c>
      <c r="U6" s="279"/>
    </row>
    <row r="7" spans="1:21" ht="12.75">
      <c r="A7" s="101"/>
      <c r="B7" s="21" t="s">
        <v>109</v>
      </c>
      <c r="E7" s="95" t="str">
        <f>Main_Sheet!H13</f>
        <v>United States (50 states and District of Columbia)</v>
      </c>
      <c r="P7" s="21" t="s">
        <v>109</v>
      </c>
      <c r="S7" s="22" t="str">
        <f>Main_Sheet!H13</f>
        <v>United States (50 states and District of Columbia)</v>
      </c>
      <c r="U7" s="278"/>
    </row>
    <row r="8" spans="1:21" ht="12.75">
      <c r="A8" s="101"/>
      <c r="B8" t="s">
        <v>110</v>
      </c>
      <c r="C8" s="23" t="s">
        <v>111</v>
      </c>
      <c r="D8" s="23" t="s">
        <v>112</v>
      </c>
      <c r="E8" s="23" t="s">
        <v>113</v>
      </c>
      <c r="F8" s="24" t="s">
        <v>114</v>
      </c>
      <c r="G8" s="24"/>
      <c r="P8" t="s">
        <v>110</v>
      </c>
      <c r="Q8" s="23" t="s">
        <v>111</v>
      </c>
      <c r="R8" s="23" t="s">
        <v>112</v>
      </c>
      <c r="S8" s="23" t="s">
        <v>113</v>
      </c>
      <c r="T8" s="24" t="s">
        <v>114</v>
      </c>
      <c r="U8" s="280"/>
    </row>
    <row r="9" spans="1:20" ht="12.75">
      <c r="A9" s="101"/>
      <c r="B9" t="s">
        <v>115</v>
      </c>
      <c r="C9" s="96">
        <f>VLOOKUP('data entry'!$S$7,'State populations'!$A$5:$E$62,2,FALSE)</f>
        <v>82640086</v>
      </c>
      <c r="D9" s="96">
        <f>VLOOKUP('data entry'!$S$7,'State populations'!$A$5:$E$62,3,FALSE)</f>
        <v>182549922</v>
      </c>
      <c r="E9" s="96">
        <f>VLOOKUP('data entry'!$S$7,'State populations'!$A$5:$E$62,4,FALSE)</f>
        <v>38869716</v>
      </c>
      <c r="F9" s="26">
        <f>SUM(C9:E9)</f>
        <v>304059724</v>
      </c>
      <c r="G9" s="26"/>
      <c r="P9" t="s">
        <v>115</v>
      </c>
      <c r="Q9" s="25">
        <f>Population!D11</f>
        <v>82640086</v>
      </c>
      <c r="R9" s="25">
        <f>Population!D14</f>
        <v>182549922</v>
      </c>
      <c r="S9" s="25">
        <f>Population!D17</f>
        <v>38869716</v>
      </c>
      <c r="T9" s="26">
        <f>SUM(Q9:S9)</f>
        <v>304059724</v>
      </c>
    </row>
    <row r="10" spans="1:20" ht="12.75">
      <c r="A10" s="101"/>
      <c r="F10" t="s">
        <v>116</v>
      </c>
      <c r="T10" t="s">
        <v>116</v>
      </c>
    </row>
    <row r="11" spans="1:16" ht="12.75">
      <c r="A11" s="101" t="s">
        <v>117</v>
      </c>
      <c r="B11" s="21" t="s">
        <v>251</v>
      </c>
      <c r="C11" s="96"/>
      <c r="O11" s="20" t="s">
        <v>117</v>
      </c>
      <c r="P11" s="21" t="s">
        <v>118</v>
      </c>
    </row>
    <row r="12" spans="1:16" ht="12.75">
      <c r="A12" s="101" t="s">
        <v>101</v>
      </c>
      <c r="B12" s="21" t="s">
        <v>119</v>
      </c>
      <c r="O12" s="20" t="s">
        <v>101</v>
      </c>
      <c r="P12" s="21" t="s">
        <v>119</v>
      </c>
    </row>
    <row r="13" spans="1:20" ht="12.75">
      <c r="A13" s="101"/>
      <c r="B13" t="s">
        <v>110</v>
      </c>
      <c r="C13" s="23" t="s">
        <v>111</v>
      </c>
      <c r="D13" s="23" t="s">
        <v>112</v>
      </c>
      <c r="E13" s="23" t="s">
        <v>113</v>
      </c>
      <c r="F13" s="23" t="s">
        <v>120</v>
      </c>
      <c r="G13" s="23"/>
      <c r="P13" t="s">
        <v>110</v>
      </c>
      <c r="Q13" s="23" t="s">
        <v>111</v>
      </c>
      <c r="R13" s="23" t="s">
        <v>112</v>
      </c>
      <c r="S13" s="23" t="s">
        <v>113</v>
      </c>
      <c r="T13" s="23" t="s">
        <v>120</v>
      </c>
    </row>
    <row r="14" spans="2:20" ht="12.75">
      <c r="B14" t="s">
        <v>28</v>
      </c>
      <c r="C14" s="97">
        <f>Sheet1!D14</f>
        <v>0.08807588075880757</v>
      </c>
      <c r="D14" s="97">
        <f>Sheet1!D15</f>
        <v>0.17477284874398719</v>
      </c>
      <c r="E14" s="97">
        <f>Sheet1!D16</f>
        <v>0.4917127071823204</v>
      </c>
      <c r="F14" s="28">
        <f>(C9/F9*C14)+(D9/F9*D14)+(E9/F9*E14)</f>
        <v>0.1917258253780899</v>
      </c>
      <c r="G14" s="28"/>
      <c r="P14" t="s">
        <v>28</v>
      </c>
      <c r="Q14" s="27">
        <f>HighRisk_Age!D11</f>
        <v>0.08807588075880757</v>
      </c>
      <c r="R14" s="27">
        <f>HighRisk_Age!D14</f>
        <v>0.17477284874398719</v>
      </c>
      <c r="S14" s="27">
        <f>HighRisk_Age!D17</f>
        <v>0.4917127071823204</v>
      </c>
      <c r="T14" s="28">
        <f>(Q9/T9*Q14)+(R9/T9*R14)+(S9/T9*S14)</f>
        <v>0.1917258253780899</v>
      </c>
    </row>
    <row r="15" spans="6:22" ht="12.75">
      <c r="F15" t="s">
        <v>121</v>
      </c>
      <c r="T15" t="s">
        <v>121</v>
      </c>
      <c r="V15" s="29"/>
    </row>
    <row r="16" spans="2:25" ht="15.75">
      <c r="B16" s="21" t="s">
        <v>252</v>
      </c>
      <c r="C16" s="96"/>
      <c r="P16" s="21" t="s">
        <v>252</v>
      </c>
      <c r="Q16" s="96"/>
      <c r="V16" s="30" t="s">
        <v>122</v>
      </c>
      <c r="W16" s="31"/>
      <c r="X16" s="31"/>
      <c r="Y16" s="31"/>
    </row>
    <row r="17" spans="2:27" ht="12.75">
      <c r="B17" s="21" t="s">
        <v>119</v>
      </c>
      <c r="P17" s="21" t="s">
        <v>119</v>
      </c>
      <c r="V17" s="31"/>
      <c r="W17" s="32" t="s">
        <v>111</v>
      </c>
      <c r="X17" s="32" t="s">
        <v>112</v>
      </c>
      <c r="Y17" s="32" t="s">
        <v>113</v>
      </c>
      <c r="Z17" s="33" t="s">
        <v>114</v>
      </c>
      <c r="AA17" s="34" t="s">
        <v>123</v>
      </c>
    </row>
    <row r="18" spans="2:27" ht="12.75">
      <c r="B18" t="s">
        <v>110</v>
      </c>
      <c r="C18" s="23" t="s">
        <v>111</v>
      </c>
      <c r="D18" s="23" t="s">
        <v>112</v>
      </c>
      <c r="E18" s="23" t="s">
        <v>113</v>
      </c>
      <c r="F18" s="23" t="s">
        <v>120</v>
      </c>
      <c r="P18" t="s">
        <v>110</v>
      </c>
      <c r="Q18" s="23" t="s">
        <v>111</v>
      </c>
      <c r="R18" s="23" t="s">
        <v>112</v>
      </c>
      <c r="S18" s="23" t="s">
        <v>113</v>
      </c>
      <c r="T18" s="23" t="s">
        <v>120</v>
      </c>
      <c r="V18" s="31" t="s">
        <v>124</v>
      </c>
      <c r="W18" s="17">
        <f>Q9-W19</f>
        <v>75361487.63956639</v>
      </c>
      <c r="X18" s="17">
        <f>R9-X19</f>
        <v>150645152.09406734</v>
      </c>
      <c r="Y18" s="17">
        <f>S9-Y19</f>
        <v>19756982.718232047</v>
      </c>
      <c r="Z18" s="18">
        <f>SUM(W18:Y18)</f>
        <v>245763622.45186576</v>
      </c>
      <c r="AA18" s="19">
        <f>Z18/Z22</f>
        <v>0.80827417462191</v>
      </c>
    </row>
    <row r="19" spans="2:27" ht="13.5" thickBot="1">
      <c r="B19" t="s">
        <v>28</v>
      </c>
      <c r="C19" s="97">
        <f>Sheet1!E14</f>
        <v>0</v>
      </c>
      <c r="D19" s="97">
        <f>Sheet1!E15</f>
        <v>0</v>
      </c>
      <c r="E19" s="97">
        <f>Sheet1!E16</f>
        <v>0</v>
      </c>
      <c r="F19" s="28">
        <f>(C9/F9*C19)+(D9/F9*D19)+(E9/F9*E19)</f>
        <v>0</v>
      </c>
      <c r="P19" t="s">
        <v>28</v>
      </c>
      <c r="Q19" s="97">
        <f>Sheet1!D20</f>
        <v>0.59</v>
      </c>
      <c r="R19" s="97">
        <f>Sheet1!D21</f>
        <v>0.81</v>
      </c>
      <c r="S19" s="97">
        <f>Sheet1!D24</f>
        <v>0.81</v>
      </c>
      <c r="T19" s="28">
        <f>((Q9*Q19)/T9)+((R9*R19)/T9)+((S9*S19)/T9)</f>
        <v>0.7502064216831297</v>
      </c>
      <c r="V19" s="31" t="s">
        <v>125</v>
      </c>
      <c r="W19" s="35">
        <f>Q14*Q9</f>
        <v>7278598.360433603</v>
      </c>
      <c r="X19" s="35">
        <f>R14*R9</f>
        <v>31904769.905932657</v>
      </c>
      <c r="Y19" s="35">
        <f>S14*S9</f>
        <v>19112733.281767953</v>
      </c>
      <c r="Z19" s="36">
        <f>SUM(W19:Y19)</f>
        <v>58296101.54813421</v>
      </c>
      <c r="AA19" s="261">
        <f>Z19/Z22</f>
        <v>0.19172582537808988</v>
      </c>
    </row>
    <row r="20" spans="3:27" ht="13.5" thickTop="1">
      <c r="C20" s="97"/>
      <c r="D20" s="97"/>
      <c r="E20" s="97"/>
      <c r="F20" s="28"/>
      <c r="V20" s="31"/>
      <c r="W20" s="46"/>
      <c r="X20" s="46"/>
      <c r="Y20" s="46"/>
      <c r="Z20" s="18"/>
      <c r="AA20" s="19"/>
    </row>
    <row r="21" spans="3:27" ht="13.5" thickBot="1">
      <c r="C21" s="97"/>
      <c r="D21" s="97"/>
      <c r="E21" s="97"/>
      <c r="F21" s="28"/>
      <c r="V21" s="31"/>
      <c r="W21" s="46"/>
      <c r="X21" s="46"/>
      <c r="Y21" s="46"/>
      <c r="Z21" s="18"/>
      <c r="AA21" s="19"/>
    </row>
    <row r="22" spans="22:27" ht="13.5" thickTop="1">
      <c r="V22" s="31" t="s">
        <v>126</v>
      </c>
      <c r="W22" s="17">
        <f>SUM(W18:W19)</f>
        <v>82640086</v>
      </c>
      <c r="X22" s="17">
        <f>SUM(X18:X19)</f>
        <v>182549922</v>
      </c>
      <c r="Y22" s="17">
        <f>SUM(Y18:Y19)</f>
        <v>38869716</v>
      </c>
      <c r="Z22" s="262">
        <f>SUM(Z18:Z19)</f>
        <v>304059724</v>
      </c>
      <c r="AA22" s="37">
        <f>SUM(AA18:AA19)</f>
        <v>0.9999999999999999</v>
      </c>
    </row>
    <row r="23" spans="1:16" ht="12.75">
      <c r="A23" s="101" t="s">
        <v>127</v>
      </c>
      <c r="B23" t="s">
        <v>257</v>
      </c>
      <c r="O23" s="20" t="s">
        <v>127</v>
      </c>
      <c r="P23" t="s">
        <v>257</v>
      </c>
    </row>
    <row r="24" spans="1:30" ht="15.75">
      <c r="A24" s="101" t="s">
        <v>101</v>
      </c>
      <c r="B24" s="21" t="s">
        <v>18</v>
      </c>
      <c r="O24" s="20" t="s">
        <v>101</v>
      </c>
      <c r="P24" s="21" t="s">
        <v>18</v>
      </c>
      <c r="V24" s="30" t="s">
        <v>94</v>
      </c>
      <c r="W24" s="30" t="s">
        <v>128</v>
      </c>
      <c r="X24" s="30"/>
      <c r="Y24" s="30"/>
      <c r="Z24" s="38" t="s">
        <v>129</v>
      </c>
      <c r="AA24" s="31"/>
      <c r="AB24" s="39"/>
      <c r="AC24" s="31"/>
      <c r="AD24" s="31"/>
    </row>
    <row r="25" spans="1:30" ht="16.5" thickBot="1">
      <c r="A25" s="101"/>
      <c r="C25" t="s">
        <v>291</v>
      </c>
      <c r="D25" t="s">
        <v>130</v>
      </c>
      <c r="E25" t="s">
        <v>292</v>
      </c>
      <c r="Q25" t="s">
        <v>291</v>
      </c>
      <c r="R25" t="s">
        <v>130</v>
      </c>
      <c r="S25" t="s">
        <v>292</v>
      </c>
      <c r="V25" s="31"/>
      <c r="W25" s="343">
        <f>$Q$73</f>
        <v>0.09622288942155326</v>
      </c>
      <c r="X25" s="343">
        <f>$R$73</f>
        <v>0.14668765087743094</v>
      </c>
      <c r="Y25" s="343">
        <f>$S$73</f>
        <v>0.1998703022568027</v>
      </c>
      <c r="Z25" s="40"/>
      <c r="AA25" s="409" t="s">
        <v>131</v>
      </c>
      <c r="AB25" s="410"/>
      <c r="AC25" s="410"/>
      <c r="AD25" s="31"/>
    </row>
    <row r="26" spans="2:30" ht="17.25" thickBot="1" thickTop="1">
      <c r="B26" s="21" t="s">
        <v>134</v>
      </c>
      <c r="D26" t="s">
        <v>135</v>
      </c>
      <c r="O26" t="s">
        <v>133</v>
      </c>
      <c r="P26" s="21" t="s">
        <v>134</v>
      </c>
      <c r="R26" t="s">
        <v>135</v>
      </c>
      <c r="U26" s="278"/>
      <c r="V26" s="30" t="s">
        <v>136</v>
      </c>
      <c r="W26" s="42">
        <f>(($R$27*$Q$14)+((1-$Q$14)*$R$32))*($Q$9*$Q$69)</f>
        <v>1129.2065173607891</v>
      </c>
      <c r="X26" s="42">
        <f>(($R$27*$Q$14)+((1-$Q$14)*$R$32))*($Q$9*$R$69)</f>
        <v>1782.95765899072</v>
      </c>
      <c r="Y26" s="42">
        <f>(($R$27*$Q$14)+((1-$Q$14)*$R$32))*($Q$9*$S$69)</f>
        <v>2496.1407225870075</v>
      </c>
      <c r="Z26" s="260"/>
      <c r="AA26" s="256">
        <f>W25</f>
        <v>0.09622288942155326</v>
      </c>
      <c r="AB26" s="256">
        <f>X25</f>
        <v>0.14668765087743094</v>
      </c>
      <c r="AC26" s="256">
        <f>Y25</f>
        <v>0.1998703022568027</v>
      </c>
      <c r="AD26" s="41" t="s">
        <v>132</v>
      </c>
    </row>
    <row r="27" spans="2:30" ht="15.75" thickTop="1">
      <c r="B27" t="s">
        <v>137</v>
      </c>
      <c r="C27" s="98">
        <f>'deaths (2)'!S15</f>
        <v>0.00039791306646055067</v>
      </c>
      <c r="D27" s="98">
        <f>'deaths (2)'!T15</f>
        <v>0.0004817525603660583</v>
      </c>
      <c r="E27" s="98">
        <f>'deaths (2)'!U15</f>
        <v>0.0005413919795805678</v>
      </c>
      <c r="O27" t="s">
        <v>138</v>
      </c>
      <c r="P27" t="s">
        <v>137</v>
      </c>
      <c r="Q27" s="241">
        <f>Deaths!B12</f>
        <v>0.00039791306646055067</v>
      </c>
      <c r="R27" s="241">
        <f>Deaths!D12</f>
        <v>0.0004817525603660583</v>
      </c>
      <c r="S27" s="241">
        <f>Deaths!G12</f>
        <v>0.0005413919795805678</v>
      </c>
      <c r="V27" s="45" t="s">
        <v>309</v>
      </c>
      <c r="W27" s="46">
        <f>(($Q$27*$Q$14)+((1-$Q$14)*$Q$32))*($Q$9*$Q$69)</f>
        <v>932.6904825349585</v>
      </c>
      <c r="X27" s="46">
        <f>(($Q$27*$Q$14)+((1-$Q$14)*$Q$32))*($Q$9*$R$69)</f>
        <v>1472.6691829499346</v>
      </c>
      <c r="Y27" s="46">
        <f>(($Q$27*$Q$14)+((1-$Q$14)*$Q$32))*($Q$9*$S$69)</f>
        <v>2061.736856129908</v>
      </c>
      <c r="Z27" s="40" t="s">
        <v>137</v>
      </c>
      <c r="AA27" s="43">
        <f>(Q69*$Q$9*$Q$14*$R$27)/W35</f>
        <v>0.08107467491475057</v>
      </c>
      <c r="AB27" s="43">
        <f>(R69*$Q$9*$Q$14*$R$27)/X35</f>
        <v>0.08267083241131218</v>
      </c>
      <c r="AC27" s="43">
        <f>(S69*$Q$9*$Q$14*$R$27)/Y35</f>
        <v>0.08517318490477697</v>
      </c>
      <c r="AD27" s="44">
        <f>X26/X35</f>
        <v>0.1401200549344274</v>
      </c>
    </row>
    <row r="28" spans="2:30" ht="15">
      <c r="B28" t="s">
        <v>112</v>
      </c>
      <c r="C28" s="98">
        <f>'deaths (2)'!S16</f>
        <v>0.0016959625413596885</v>
      </c>
      <c r="D28" s="98">
        <f>'deaths (2)'!T16</f>
        <v>0.002053298070747229</v>
      </c>
      <c r="E28" s="98">
        <f>'deaths (2)'!U16</f>
        <v>0.0023074891581277897</v>
      </c>
      <c r="P28" t="s">
        <v>112</v>
      </c>
      <c r="Q28" s="241">
        <f>Deaths!B14</f>
        <v>0.0016959625413596885</v>
      </c>
      <c r="R28" s="241">
        <f>Deaths!D14</f>
        <v>0.002053298070747229</v>
      </c>
      <c r="S28" s="241">
        <f>Deaths!G14</f>
        <v>0.0023074891581277897</v>
      </c>
      <c r="V28" s="45" t="s">
        <v>310</v>
      </c>
      <c r="W28" s="46">
        <f>(($S$27*$Q$14)+((1-$Q$14)*$S$32))*($Q$9*$Q$69)</f>
        <v>1268.9986563324314</v>
      </c>
      <c r="X28" s="46">
        <f>(($S$27*$Q$14)+((1-$Q$14)*$S$32))*($Q$9*$R$69)</f>
        <v>2003.6820889459445</v>
      </c>
      <c r="Y28" s="46">
        <f>(($S$27*$Q$14)+((1-$Q$14)*$S$32))*($Q$9*$S$69)</f>
        <v>2805.1549245243223</v>
      </c>
      <c r="Z28" s="47" t="s">
        <v>139</v>
      </c>
      <c r="AA28" s="43">
        <f>(Q70*$R$9*$R$14*$R$28)/W35</f>
        <v>0.5580401981287638</v>
      </c>
      <c r="AB28" s="43">
        <f>(R70*$R$9*$R$14*$R$28)/X35</f>
        <v>0.5148336025891975</v>
      </c>
      <c r="AC28" s="43">
        <f>(S70*$R$9*$R$14*$R$28)/Y35</f>
        <v>0.4925301019060212</v>
      </c>
      <c r="AD28" s="44">
        <f>X29/X35</f>
        <v>0.6355970402335772</v>
      </c>
    </row>
    <row r="29" spans="2:30" ht="16.5" thickBot="1">
      <c r="B29" t="s">
        <v>140</v>
      </c>
      <c r="C29" s="98">
        <f>'deaths (2)'!S17</f>
        <v>0.0024974803484200826</v>
      </c>
      <c r="D29" s="98">
        <f>'deaths (2)'!T17</f>
        <v>0.003023703004791726</v>
      </c>
      <c r="E29" s="98">
        <f>'deaths (2)'!U17</f>
        <v>0.003397980093119174</v>
      </c>
      <c r="P29" t="s">
        <v>140</v>
      </c>
      <c r="Q29" s="241">
        <f>Deaths!B16</f>
        <v>0.0024974803484200826</v>
      </c>
      <c r="R29" s="241">
        <f>Deaths!D16</f>
        <v>0.003023703004791726</v>
      </c>
      <c r="S29" s="241">
        <f>Deaths!G16</f>
        <v>0.003397980093119174</v>
      </c>
      <c r="V29" s="49" t="s">
        <v>141</v>
      </c>
      <c r="W29" s="42">
        <f>(($R$28*$R$14)+((1-$R$14)*$R$33))*($R$9*$Q$70)</f>
        <v>5661.3582403506225</v>
      </c>
      <c r="X29" s="42">
        <f>(($R$28*$R$14)+((1-$R$14)*$R$33))*($R$9*$R$70)</f>
        <v>8087.654629072317</v>
      </c>
      <c r="Y29" s="42">
        <f>(($R$28*$R$14)+((1-$R$14)*$R$33))*($R$9*$S$70)</f>
        <v>10513.951017794012</v>
      </c>
      <c r="Z29" s="47" t="s">
        <v>140</v>
      </c>
      <c r="AA29" s="257">
        <f>(Q71*$S$9*$S$14*$R$29)/W35</f>
        <v>0.14065389224251088</v>
      </c>
      <c r="AB29" s="257">
        <f>(R71*$S$9*$S$14*$R$29)/X35</f>
        <v>0.1816691529139163</v>
      </c>
      <c r="AC29" s="257">
        <f>(S71*$S$9*$S$14*$R$29)/Y35</f>
        <v>0.20053722051284437</v>
      </c>
      <c r="AD29" s="48">
        <f>X32/X35</f>
        <v>0.22428290483199545</v>
      </c>
    </row>
    <row r="30" spans="3:30" ht="16.5" thickTop="1">
      <c r="C30" s="242"/>
      <c r="D30" s="242"/>
      <c r="E30" s="242"/>
      <c r="V30" s="45" t="s">
        <v>309</v>
      </c>
      <c r="W30" s="46">
        <f>(($Q$28*$R$14)+((1-$R$14)*$Q$33))*($R$9*$Q$70)</f>
        <v>4676.111883433724</v>
      </c>
      <c r="X30" s="46">
        <f>(($Q$28*$R$14)+((1-$R$14)*$Q$33))*($R$9*$R$70)</f>
        <v>6680.159833476748</v>
      </c>
      <c r="Y30" s="46">
        <f>(($Q$28*$R$14)+((1-$R$14)*$Q$33))*($R$9*$S$70)</f>
        <v>8684.207783519772</v>
      </c>
      <c r="Z30" s="47" t="s">
        <v>142</v>
      </c>
      <c r="AA30" s="50">
        <f>SUM(AA27:AA29)</f>
        <v>0.7797687652860252</v>
      </c>
      <c r="AB30" s="50">
        <f>SUM(AB27:AB29)</f>
        <v>0.7791735879144259</v>
      </c>
      <c r="AC30" s="50">
        <f>SUM(AC27:AC29)</f>
        <v>0.7782405073236426</v>
      </c>
      <c r="AD30" s="44">
        <f>SUM(AD27:AD29)</f>
        <v>1</v>
      </c>
    </row>
    <row r="31" spans="2:26" ht="12.75">
      <c r="B31" s="21" t="s">
        <v>143</v>
      </c>
      <c r="C31" s="242"/>
      <c r="D31" s="242"/>
      <c r="E31" s="242"/>
      <c r="P31" s="21" t="s">
        <v>143</v>
      </c>
      <c r="V31" s="45" t="s">
        <v>310</v>
      </c>
      <c r="W31" s="46">
        <f>(($S$28*$R$14)+((1-$R$14)*$S$33))*($R$9*$Q$70)</f>
        <v>6362.214500660613</v>
      </c>
      <c r="X31" s="46">
        <f>(($S$28*$R$14)+((1-$R$14)*$S$33))*($R$9*$R$70)</f>
        <v>9088.87785808659</v>
      </c>
      <c r="Y31" s="46">
        <f>(($S$28*$R$14)+((1-$R$14)*$S$33))*($R$9*$S$70)</f>
        <v>11815.541215512565</v>
      </c>
      <c r="Z31" s="54"/>
    </row>
    <row r="32" spans="2:25" ht="15.75">
      <c r="B32" t="s">
        <v>137</v>
      </c>
      <c r="C32" s="98">
        <f>'deaths (2)'!S26</f>
        <v>2.6706583779116205E-05</v>
      </c>
      <c r="D32" s="98">
        <f>'deaths (2)'!T26</f>
        <v>3.233360801308448E-05</v>
      </c>
      <c r="E32" s="98">
        <f>'deaths (2)'!U26</f>
        <v>3.6336404804750124E-05</v>
      </c>
      <c r="P32" t="s">
        <v>137</v>
      </c>
      <c r="Q32" s="241">
        <f>Deaths!B21</f>
        <v>2.6706583779116205E-05</v>
      </c>
      <c r="R32" s="241">
        <f>Deaths!D21</f>
        <v>3.233360801308448E-05</v>
      </c>
      <c r="S32" s="241">
        <f>Deaths!G21</f>
        <v>3.6336404804750124E-05</v>
      </c>
      <c r="V32" s="49" t="s">
        <v>144</v>
      </c>
      <c r="W32" s="42">
        <f>(($R$29*$S$14)+((1-$S$14)*$R$34))*($S$9*$Q$71)</f>
        <v>1426.943927255916</v>
      </c>
      <c r="X32" s="42">
        <f>(($R$29*$S$14)+((1-$S$14)*$R$34))*($S$9*$R$71)</f>
        <v>2853.887854511832</v>
      </c>
      <c r="Y32" s="42">
        <f>(($R$29*$S$14)+((1-$S$14)*$R$34))*($S$9*$S$71)</f>
        <v>4280.831781767747</v>
      </c>
    </row>
    <row r="33" spans="2:25" ht="12.75">
      <c r="B33" t="s">
        <v>112</v>
      </c>
      <c r="C33" s="98">
        <f>'deaths (2)'!S27</f>
        <v>8.42529846276126E-05</v>
      </c>
      <c r="D33" s="98">
        <f>'deaths (2)'!T27</f>
        <v>0.000102004900799211</v>
      </c>
      <c r="E33" s="98">
        <f>'deaths (2)'!U27</f>
        <v>0.00011463274914801982</v>
      </c>
      <c r="P33" t="s">
        <v>112</v>
      </c>
      <c r="Q33" s="241">
        <f>Deaths!B23</f>
        <v>8.42529846276126E-05</v>
      </c>
      <c r="R33" s="241">
        <f>Deaths!D23</f>
        <v>0.000102004900799211</v>
      </c>
      <c r="S33" s="241">
        <f>Deaths!G23</f>
        <v>0.00011463274914801982</v>
      </c>
      <c r="V33" s="45" t="s">
        <v>309</v>
      </c>
      <c r="W33" s="46">
        <f>(($Q$29*$S$14)+((1-$S$14)*$Q$34))*($S$9*$Q$71)</f>
        <v>1178.60927841506</v>
      </c>
      <c r="X33" s="46">
        <f>(($Q$29*$S$14)+((1-$S$14)*$Q$34))*($S$9*$R$71)</f>
        <v>2357.21855683012</v>
      </c>
      <c r="Y33" s="46">
        <f>(($Q$29*$S$14)+((1-$S$14)*$Q$34))*($S$9*$S$71)</f>
        <v>3535.82783524518</v>
      </c>
    </row>
    <row r="34" spans="2:25" ht="13.5" thickBot="1">
      <c r="B34" t="s">
        <v>140</v>
      </c>
      <c r="C34" s="98">
        <f>'deaths (2)'!S28</f>
        <v>0.0005667256131479275</v>
      </c>
      <c r="D34" s="98">
        <f>'deaths (2)'!T28</f>
        <v>0.0006861355047105217</v>
      </c>
      <c r="E34" s="98">
        <f>'deaths (2)'!U28</f>
        <v>0.0007710660678293773</v>
      </c>
      <c r="P34" t="s">
        <v>140</v>
      </c>
      <c r="Q34" s="241">
        <f>Deaths!B25</f>
        <v>0.0005667256131479275</v>
      </c>
      <c r="R34" s="241">
        <f>Deaths!D25</f>
        <v>0.0006861355047105217</v>
      </c>
      <c r="S34" s="241">
        <f>Deaths!G25</f>
        <v>0.0007710660678293773</v>
      </c>
      <c r="V34" s="45" t="s">
        <v>310</v>
      </c>
      <c r="W34" s="46">
        <f>(($S$29*$S$14)+((1-$S$14)*$S$34))*($S$9*$Q$71)</f>
        <v>1603.572523865279</v>
      </c>
      <c r="X34" s="46">
        <f>(($S$29*$S$14)+((1-$S$14)*$S$34))*($S$9*$R$71)</f>
        <v>3207.145047730558</v>
      </c>
      <c r="Y34" s="46">
        <f>(($S$29*$S$14)+((1-$S$14)*$S$34))*($S$9*$S$71)</f>
        <v>4810.7175715958365</v>
      </c>
    </row>
    <row r="35" spans="3:25" ht="16.5" thickTop="1">
      <c r="C35" s="95"/>
      <c r="D35" s="95"/>
      <c r="E35" s="95"/>
      <c r="Q35" s="22"/>
      <c r="R35" s="22"/>
      <c r="S35" s="22"/>
      <c r="V35" s="30" t="s">
        <v>145</v>
      </c>
      <c r="W35" s="56">
        <f>W26+W29+W32</f>
        <v>8217.508684967328</v>
      </c>
      <c r="X35" s="56">
        <f>X26+X29+X32</f>
        <v>12724.500142574869</v>
      </c>
      <c r="Y35" s="56">
        <f>Y26+Y29+Y32</f>
        <v>17290.92352214877</v>
      </c>
    </row>
    <row r="36" spans="3:26" ht="12.75">
      <c r="C36" s="22"/>
      <c r="D36" s="22"/>
      <c r="E36" s="22"/>
      <c r="Q36" s="22"/>
      <c r="R36" s="22"/>
      <c r="S36" s="22"/>
      <c r="V36" s="338" t="s">
        <v>311</v>
      </c>
      <c r="W36" s="57">
        <f aca="true" t="shared" si="0" ref="W36:Y37">W27+W30+W33</f>
        <v>6787.411644383743</v>
      </c>
      <c r="X36" s="57">
        <f t="shared" si="0"/>
        <v>10510.047573256801</v>
      </c>
      <c r="Y36" s="57">
        <f t="shared" si="0"/>
        <v>14281.77247489486</v>
      </c>
      <c r="Z36" s="54"/>
    </row>
    <row r="37" spans="22:25" ht="12.75">
      <c r="V37" s="45" t="s">
        <v>312</v>
      </c>
      <c r="W37" s="57">
        <f t="shared" si="0"/>
        <v>9234.785680858324</v>
      </c>
      <c r="X37" s="57">
        <f t="shared" si="0"/>
        <v>14299.704994763091</v>
      </c>
      <c r="Y37" s="58">
        <f t="shared" si="0"/>
        <v>19431.413711632726</v>
      </c>
    </row>
    <row r="38" spans="1:25" ht="12.75">
      <c r="A38" s="101" t="s">
        <v>146</v>
      </c>
      <c r="B38" t="s">
        <v>258</v>
      </c>
      <c r="O38" s="20" t="s">
        <v>146</v>
      </c>
      <c r="P38" t="s">
        <v>258</v>
      </c>
      <c r="W38" s="59"/>
      <c r="X38" s="59"/>
      <c r="Y38" s="59"/>
    </row>
    <row r="39" spans="1:28" ht="15.75">
      <c r="A39" s="101" t="s">
        <v>101</v>
      </c>
      <c r="B39" s="21" t="s">
        <v>26</v>
      </c>
      <c r="O39" s="20" t="s">
        <v>101</v>
      </c>
      <c r="P39" s="21" t="s">
        <v>26</v>
      </c>
      <c r="V39" s="30" t="s">
        <v>26</v>
      </c>
      <c r="W39" s="30" t="s">
        <v>128</v>
      </c>
      <c r="X39" s="30"/>
      <c r="Y39" s="30"/>
      <c r="Z39" s="38" t="s">
        <v>129</v>
      </c>
      <c r="AA39" s="31"/>
      <c r="AB39" s="39"/>
    </row>
    <row r="40" spans="3:30" ht="16.5" thickBot="1">
      <c r="C40" t="s">
        <v>291</v>
      </c>
      <c r="D40" t="s">
        <v>130</v>
      </c>
      <c r="E40" t="s">
        <v>292</v>
      </c>
      <c r="Q40" t="s">
        <v>291</v>
      </c>
      <c r="R40" t="s">
        <v>130</v>
      </c>
      <c r="S40" t="s">
        <v>292</v>
      </c>
      <c r="V40" s="31"/>
      <c r="W40" s="343">
        <f>$Q$73</f>
        <v>0.09622288942155326</v>
      </c>
      <c r="X40" s="343">
        <f>$R$73</f>
        <v>0.14668765087743094</v>
      </c>
      <c r="Y40" s="343">
        <f>$S$73</f>
        <v>0.1998703022568027</v>
      </c>
      <c r="Z40" s="40"/>
      <c r="AA40" s="409" t="s">
        <v>131</v>
      </c>
      <c r="AB40" s="410"/>
      <c r="AC40" s="410"/>
      <c r="AD40" s="31"/>
    </row>
    <row r="41" spans="2:30" ht="17.25" thickBot="1" thickTop="1">
      <c r="B41" s="21" t="s">
        <v>134</v>
      </c>
      <c r="D41" t="s">
        <v>135</v>
      </c>
      <c r="O41" t="s">
        <v>133</v>
      </c>
      <c r="P41" s="21" t="s">
        <v>134</v>
      </c>
      <c r="R41" t="s">
        <v>135</v>
      </c>
      <c r="V41" s="30" t="s">
        <v>136</v>
      </c>
      <c r="W41" s="42">
        <f>(($R$42*$Q$14)+((1-$Q$14)*$R$47))*($Q$9*$Q$69)</f>
        <v>59738.90727361282</v>
      </c>
      <c r="X41" s="42">
        <f>(($R$42*$Q$14)+((1-$Q$14)*$R$47))*($Q$9*$R$69)</f>
        <v>94324.59043202024</v>
      </c>
      <c r="Y41" s="42">
        <f>(($R$42*$Q$14)+((1-$Q$14)*$R$47))*($Q$9*$S$69)</f>
        <v>132054.42660482833</v>
      </c>
      <c r="Z41" s="260"/>
      <c r="AA41" s="256">
        <f>W40</f>
        <v>0.09622288942155326</v>
      </c>
      <c r="AB41" s="256">
        <f>X40</f>
        <v>0.14668765087743094</v>
      </c>
      <c r="AC41" s="256">
        <f>Y40</f>
        <v>0.1998703022568027</v>
      </c>
      <c r="AD41" s="41" t="s">
        <v>132</v>
      </c>
    </row>
    <row r="42" spans="2:30" ht="15.75" thickTop="1">
      <c r="B42" t="s">
        <v>137</v>
      </c>
      <c r="C42" s="99">
        <f>'hospitalizations (2)'!S15</f>
        <v>0.021051358722419488</v>
      </c>
      <c r="D42" s="99">
        <f>'hospitalizations (2)'!T15</f>
        <v>0.025486366833763423</v>
      </c>
      <c r="E42" s="99">
        <f>'hospitalizations (2)'!U15</f>
        <v>0.028641116533807378</v>
      </c>
      <c r="G42" s="79"/>
      <c r="O42" t="s">
        <v>138</v>
      </c>
      <c r="P42" t="s">
        <v>137</v>
      </c>
      <c r="Q42" s="55">
        <f>Hospitalizations!B12</f>
        <v>0.021051358722419488</v>
      </c>
      <c r="R42" s="55">
        <f>Hospitalizations!D12</f>
        <v>0.025486366833763423</v>
      </c>
      <c r="S42" s="55">
        <f>Hospitalizations!G12</f>
        <v>0.028641116533807378</v>
      </c>
      <c r="V42" s="45" t="s">
        <v>309</v>
      </c>
      <c r="W42" s="46">
        <f>(($Q$42*$Q$14)+((1-$Q$14)*$Q$47))*($Q$9*$Q$69)</f>
        <v>49343.44604332441</v>
      </c>
      <c r="X42" s="46">
        <f>(($Q$42*$Q$14)+((1-$Q$14)*$Q$47))*($Q$9*$R$69)</f>
        <v>77910.70427893328</v>
      </c>
      <c r="Y42" s="46">
        <f>(($Q$42*$Q$14)+((1-$Q$14)*$Q$47))*($Q$9*$S$69)</f>
        <v>109074.98599050658</v>
      </c>
      <c r="Z42" s="40" t="s">
        <v>137</v>
      </c>
      <c r="AA42" s="43">
        <f>(Q69*$Q$9*$Q14*$R$42)/W50</f>
        <v>0.26072501144736876</v>
      </c>
      <c r="AB42" s="43">
        <f>(R69*$Q$9*$Q14*$R$42)/X50</f>
        <v>0.2663091358859443</v>
      </c>
      <c r="AC42" s="43">
        <f>(S69*$Q$9*$Q14*$R$42)/Y50</f>
        <v>0.27250913707076524</v>
      </c>
      <c r="AD42" s="44">
        <f>X41/X50</f>
        <v>0.45137141675583775</v>
      </c>
    </row>
    <row r="43" spans="2:30" ht="15">
      <c r="B43" t="s">
        <v>112</v>
      </c>
      <c r="C43" s="99">
        <f>'hospitalizations (2)'!S16</f>
        <v>0.018997356432656678</v>
      </c>
      <c r="D43" s="99">
        <f>'hospitalizations (2)'!T16</f>
        <v>0.023003003535661874</v>
      </c>
      <c r="E43" s="99">
        <f>'hospitalizations (2)'!U16</f>
        <v>0.02585191728537838</v>
      </c>
      <c r="G43" s="79"/>
      <c r="P43" t="s">
        <v>112</v>
      </c>
      <c r="Q43" s="55">
        <f>Hospitalizations!B14</f>
        <v>0.018997356432656678</v>
      </c>
      <c r="R43" s="55">
        <f>Hospitalizations!D14</f>
        <v>0.023003003535661874</v>
      </c>
      <c r="S43" s="55">
        <f>Hospitalizations!G14</f>
        <v>0.02585191728537838</v>
      </c>
      <c r="V43" s="45" t="s">
        <v>310</v>
      </c>
      <c r="W43" s="46">
        <f>(($S$42*$Q$14)+((1-$Q$14)*$S$47))*($Q$9*$Q$69)</f>
        <v>67133.49988195262</v>
      </c>
      <c r="X43" s="46">
        <f>(($S$42*$Q$14)+((1-$Q$14)*$S$47))*($Q$9*$R$69)</f>
        <v>106000.26297150414</v>
      </c>
      <c r="Y43" s="46">
        <f>(($S$42*$Q$14)+((1-$Q$14)*$S$47))*($Q$9*$S$69)</f>
        <v>148400.36816010578</v>
      </c>
      <c r="Z43" s="47" t="s">
        <v>139</v>
      </c>
      <c r="AA43" s="43">
        <f>(Q70*$R$9*$R$14*$R$43)/W50</f>
        <v>0.3800245139999613</v>
      </c>
      <c r="AB43" s="43">
        <f>(R70*$R$9*$R$14*$R$43)/X50</f>
        <v>0.351195779974647</v>
      </c>
      <c r="AC43" s="43">
        <f>(S70*$R$9*$R$14*$R$43)/Y50</f>
        <v>0.3337026138358832</v>
      </c>
      <c r="AD43" s="44">
        <f>X44/X50</f>
        <v>0.4335750370057371</v>
      </c>
    </row>
    <row r="44" spans="2:30" ht="16.5" thickBot="1">
      <c r="B44" t="s">
        <v>140</v>
      </c>
      <c r="C44" s="99">
        <f>'hospitalizations (2)'!S17</f>
        <v>0.0210340038765009</v>
      </c>
      <c r="D44" s="99">
        <f>'hospitalizations (2)'!T17</f>
        <v>0.02547376346577088</v>
      </c>
      <c r="E44" s="99">
        <f>'hospitalizations (2)'!U17</f>
        <v>0.028636896346454353</v>
      </c>
      <c r="G44" s="79"/>
      <c r="P44" t="s">
        <v>140</v>
      </c>
      <c r="Q44" s="55">
        <f>Hospitalizations!B16</f>
        <v>0.0210340038765009</v>
      </c>
      <c r="R44" s="55">
        <f>Hospitalizations!D16</f>
        <v>0.02547376346577088</v>
      </c>
      <c r="S44" s="55">
        <f>Hospitalizations!G16</f>
        <v>0.028636896346454353</v>
      </c>
      <c r="V44" s="49" t="s">
        <v>141</v>
      </c>
      <c r="W44" s="42">
        <f>(($R$43*$R$14)+((1-$R$14)*$R$48))*($R$9*$Q$70)</f>
        <v>63423.93511919176</v>
      </c>
      <c r="X44" s="42">
        <f>(($R$43*$R$14)+((1-$R$14)*$R$48))*($R$9*$R$70)</f>
        <v>90605.62159884536</v>
      </c>
      <c r="Y44" s="42">
        <f>(($R$43*$R$14)+((1-$R$14)*$R$48))*($R$9*$S$70)</f>
        <v>117787.30807849897</v>
      </c>
      <c r="Z44" s="47" t="s">
        <v>140</v>
      </c>
      <c r="AA44" s="257">
        <f>(Q71*$S$9*$S$14*$R$44)/W50</f>
        <v>0.07203097875873572</v>
      </c>
      <c r="AB44" s="257">
        <f>(R71*$S$9*$S$14*$R$44)/X50</f>
        <v>0.09319337245312444</v>
      </c>
      <c r="AC44" s="257">
        <f>(S71*$S$9*$S$14*$R$44)/Y50</f>
        <v>0.10217467255848987</v>
      </c>
      <c r="AD44" s="48">
        <f>X47/X50</f>
        <v>0.11505354623842523</v>
      </c>
    </row>
    <row r="45" spans="3:30" ht="16.5" thickTop="1">
      <c r="C45" s="95"/>
      <c r="D45" s="95"/>
      <c r="E45" s="95"/>
      <c r="V45" s="45" t="s">
        <v>309</v>
      </c>
      <c r="W45" s="46">
        <f>(($Q$43*$R$14)+((1-$R$14)*$Q$48))*($R$9*$Q$70)</f>
        <v>52379.5555633865</v>
      </c>
      <c r="X45" s="46">
        <f>(($Q$43*$R$14)+((1-$R$14)*$Q$48))*($R$9*$R$70)</f>
        <v>74827.93651912357</v>
      </c>
      <c r="Y45" s="46">
        <f>(($Q$43*$R$14)+((1-$R$14)*$Q$48))*($R$9*$S$70)</f>
        <v>97276.31747486064</v>
      </c>
      <c r="Z45" s="47" t="s">
        <v>142</v>
      </c>
      <c r="AA45" s="50">
        <f>SUM(AA42:AA44)</f>
        <v>0.7127805042060659</v>
      </c>
      <c r="AB45" s="50">
        <f>SUM(AB42:AB44)</f>
        <v>0.7106982883137157</v>
      </c>
      <c r="AC45" s="50">
        <f>SUM(AC42:AC44)</f>
        <v>0.7083864234651384</v>
      </c>
      <c r="AD45" s="44">
        <f>SUM(AD42:AD44)</f>
        <v>1</v>
      </c>
    </row>
    <row r="46" spans="2:26" ht="12.75">
      <c r="B46" s="21" t="s">
        <v>143</v>
      </c>
      <c r="C46" s="95"/>
      <c r="D46" s="95"/>
      <c r="E46" s="95"/>
      <c r="P46" s="21" t="s">
        <v>143</v>
      </c>
      <c r="V46" s="45" t="s">
        <v>310</v>
      </c>
      <c r="W46" s="46">
        <f>(($S$43*$R$14)+((1-$R$14)*$S$48))*($R$9*$Q$70)</f>
        <v>71278.96676938768</v>
      </c>
      <c r="X46" s="46">
        <f>(($S$43*$R$14)+((1-$R$14)*$S$48))*($R$9*$R$70)</f>
        <v>101827.09538483954</v>
      </c>
      <c r="Y46" s="46">
        <f>(($S$43*$R$14)+((1-$R$14)*$S$48))*($R$9*$S$70)</f>
        <v>132375.2240002914</v>
      </c>
      <c r="Z46" s="54"/>
    </row>
    <row r="47" spans="2:26" ht="15.75">
      <c r="B47" t="s">
        <v>137</v>
      </c>
      <c r="C47" s="99">
        <f>'hospitalizations (2)'!S26</f>
        <v>0.0014128962398380115</v>
      </c>
      <c r="D47" s="99">
        <f>'hospitalizations (2)'!T26</f>
        <v>0.0017105590352325666</v>
      </c>
      <c r="E47" s="99">
        <f>'hospitalizations (2)'!U26</f>
        <v>0.0019222952014152834</v>
      </c>
      <c r="P47" t="s">
        <v>137</v>
      </c>
      <c r="Q47" s="55">
        <f>Hospitalizations!B21</f>
        <v>0.0014128962398380115</v>
      </c>
      <c r="R47" s="55">
        <f>Hospitalizations!D21</f>
        <v>0.0017105590352325666</v>
      </c>
      <c r="S47" s="55">
        <f>Hospitalizations!G21</f>
        <v>0.0019222952014152834</v>
      </c>
      <c r="V47" s="49" t="s">
        <v>144</v>
      </c>
      <c r="W47" s="42">
        <f>(($R$44*$S$14)+((1-$S$14)*$R$49))*($S$9*$Q$71)</f>
        <v>12021.561649484536</v>
      </c>
      <c r="X47" s="42">
        <f>(($R$44*$S$14)+((1-$S$14)*$R$49))*($S$9*$R$71)</f>
        <v>24043.123298969072</v>
      </c>
      <c r="Y47" s="42">
        <f>(($R$44*$S$14)+((1-$S$14)*$R$49))*($S$9*$S$71)</f>
        <v>36064.68494845361</v>
      </c>
      <c r="Z47" s="54"/>
    </row>
    <row r="48" spans="2:26" ht="12.75">
      <c r="B48" t="s">
        <v>112</v>
      </c>
      <c r="C48" s="99">
        <f>'hospitalizations (2)'!S27</f>
        <v>0.0009437613982928413</v>
      </c>
      <c r="D48" s="99">
        <f>'hospitalizations (2)'!T27</f>
        <v>0.0011427561965638969</v>
      </c>
      <c r="E48" s="99">
        <f>'hospitalizations (2)'!U27</f>
        <v>0.0012842861422476155</v>
      </c>
      <c r="P48" t="s">
        <v>112</v>
      </c>
      <c r="Q48" s="55">
        <f>Hospitalizations!B23</f>
        <v>0.0009437613982928413</v>
      </c>
      <c r="R48" s="55">
        <f>Hospitalizations!D23</f>
        <v>0.0011427561965638969</v>
      </c>
      <c r="S48" s="55">
        <f>Hospitalizations!G23</f>
        <v>0.0012842861422476155</v>
      </c>
      <c r="V48" s="45" t="s">
        <v>309</v>
      </c>
      <c r="W48" s="46">
        <f>(($Q$44*$S$14)+((1-$S$14)*$Q$49))*($S$9*$Q$71)</f>
        <v>9926.353233067528</v>
      </c>
      <c r="X48" s="46">
        <f>(($Q$44*$S$14)+((1-$S$14)*$Q$49))*($S$9*$R$71)</f>
        <v>19852.706466135056</v>
      </c>
      <c r="Y48" s="46">
        <f>(($Q$44*$S$14)+((1-$S$14)*$Q$49))*($S$9*$S$71)</f>
        <v>29779.059699202582</v>
      </c>
      <c r="Z48" s="258"/>
    </row>
    <row r="49" spans="2:26" ht="13.5" thickBot="1">
      <c r="B49" t="s">
        <v>140</v>
      </c>
      <c r="C49" s="99">
        <f>'hospitalizations (2)'!S28</f>
        <v>0.004773014030483495</v>
      </c>
      <c r="D49" s="99">
        <f>'hospitalizations (2)'!T28</f>
        <v>0.005780479605558045</v>
      </c>
      <c r="E49" s="99">
        <f>'hospitalizations (2)'!U28</f>
        <v>0.006498254391016409</v>
      </c>
      <c r="P49" t="s">
        <v>140</v>
      </c>
      <c r="Q49" s="55">
        <f>Hospitalizations!B25</f>
        <v>0.004773014030483495</v>
      </c>
      <c r="R49" s="55">
        <f>Hospitalizations!D25</f>
        <v>0.005780479605558045</v>
      </c>
      <c r="S49" s="55">
        <f>Hospitalizations!G25</f>
        <v>0.006498254391016409</v>
      </c>
      <c r="V49" s="45" t="s">
        <v>310</v>
      </c>
      <c r="W49" s="46">
        <f>(($S$44*$S$14)+((1-$S$14)*$S$49))*($S$9*$Q$71)</f>
        <v>13514.30523178808</v>
      </c>
      <c r="X49" s="46">
        <f>(($S$44*$S$14)+((1-$S$14)*$S$49))*($S$9*$R$71)</f>
        <v>27028.61046357616</v>
      </c>
      <c r="Y49" s="46">
        <f>(($S$44*$S$14)+((1-$S$14)*$S$49))*($S$9*$S$71)</f>
        <v>40542.91569536424</v>
      </c>
      <c r="Z49" s="259"/>
    </row>
    <row r="50" spans="3:26" ht="16.5" thickTop="1">
      <c r="C50" s="95"/>
      <c r="D50" s="95"/>
      <c r="E50" s="95"/>
      <c r="Q50" s="22"/>
      <c r="R50" s="22"/>
      <c r="S50" s="22"/>
      <c r="V50" s="30" t="s">
        <v>145</v>
      </c>
      <c r="W50" s="56">
        <f aca="true" t="shared" si="1" ref="W50:Y52">W41+W44+W47</f>
        <v>135184.40404228913</v>
      </c>
      <c r="X50" s="56">
        <f t="shared" si="1"/>
        <v>208973.33532983466</v>
      </c>
      <c r="Y50" s="56">
        <f t="shared" si="1"/>
        <v>285906.41963178094</v>
      </c>
      <c r="Z50" s="259"/>
    </row>
    <row r="51" spans="3:26" ht="12.75">
      <c r="C51" s="22"/>
      <c r="D51" s="22"/>
      <c r="E51" s="22"/>
      <c r="Q51" s="22"/>
      <c r="R51" s="22"/>
      <c r="S51" s="22"/>
      <c r="V51" s="338" t="s">
        <v>311</v>
      </c>
      <c r="W51" s="57">
        <f t="shared" si="1"/>
        <v>111649.35483977843</v>
      </c>
      <c r="X51" s="57">
        <f t="shared" si="1"/>
        <v>172591.3472641919</v>
      </c>
      <c r="Y51" s="57">
        <f t="shared" si="1"/>
        <v>236130.36316456983</v>
      </c>
      <c r="Z51" s="259"/>
    </row>
    <row r="52" spans="22:25" ht="12.75">
      <c r="V52" s="45" t="s">
        <v>312</v>
      </c>
      <c r="W52" s="57">
        <f t="shared" si="1"/>
        <v>151926.7718831284</v>
      </c>
      <c r="X52" s="57">
        <f t="shared" si="1"/>
        <v>234855.96881991986</v>
      </c>
      <c r="Y52" s="58">
        <f t="shared" si="1"/>
        <v>321318.50785576145</v>
      </c>
    </row>
    <row r="53" spans="1:16" ht="12.75">
      <c r="A53" s="101" t="s">
        <v>147</v>
      </c>
      <c r="B53" s="21" t="s">
        <v>148</v>
      </c>
      <c r="O53" s="20" t="s">
        <v>147</v>
      </c>
      <c r="P53" s="21" t="s">
        <v>148</v>
      </c>
    </row>
    <row r="54" spans="1:28" ht="15.75">
      <c r="A54" s="101" t="s">
        <v>101</v>
      </c>
      <c r="B54" s="21" t="s">
        <v>149</v>
      </c>
      <c r="O54" s="20" t="s">
        <v>101</v>
      </c>
      <c r="P54" s="21" t="s">
        <v>149</v>
      </c>
      <c r="V54" s="30" t="s">
        <v>150</v>
      </c>
      <c r="W54" s="30" t="s">
        <v>128</v>
      </c>
      <c r="X54" s="30"/>
      <c r="Y54" s="30"/>
      <c r="Z54" s="38" t="s">
        <v>129</v>
      </c>
      <c r="AA54" s="31"/>
      <c r="AB54" s="39"/>
    </row>
    <row r="55" spans="1:30" ht="16.5" thickBot="1">
      <c r="A55" s="101"/>
      <c r="C55" t="s">
        <v>291</v>
      </c>
      <c r="D55" t="s">
        <v>130</v>
      </c>
      <c r="E55" t="s">
        <v>292</v>
      </c>
      <c r="Q55" t="s">
        <v>291</v>
      </c>
      <c r="R55" t="s">
        <v>130</v>
      </c>
      <c r="S55" t="s">
        <v>292</v>
      </c>
      <c r="V55" s="30" t="s">
        <v>151</v>
      </c>
      <c r="W55" s="343">
        <f>$Q$73</f>
        <v>0.09622288942155326</v>
      </c>
      <c r="X55" s="343">
        <f>$R$73</f>
        <v>0.14668765087743094</v>
      </c>
      <c r="Y55" s="343">
        <f>$S$73</f>
        <v>0.1998703022568027</v>
      </c>
      <c r="Z55" s="40"/>
      <c r="AA55" s="409" t="s">
        <v>131</v>
      </c>
      <c r="AB55" s="410"/>
      <c r="AC55" s="410"/>
      <c r="AD55" s="31"/>
    </row>
    <row r="56" spans="2:30" ht="17.25" thickBot="1" thickTop="1">
      <c r="B56" s="21" t="s">
        <v>134</v>
      </c>
      <c r="D56" t="s">
        <v>152</v>
      </c>
      <c r="O56" t="s">
        <v>133</v>
      </c>
      <c r="P56" s="21" t="s">
        <v>134</v>
      </c>
      <c r="R56" t="s">
        <v>152</v>
      </c>
      <c r="V56" s="30" t="s">
        <v>136</v>
      </c>
      <c r="W56" s="42">
        <f>(($R$57*$Q$14)+((1-$Q$14)*$R$62))*($Q$9*$Q$69)</f>
        <v>8528254.19423027</v>
      </c>
      <c r="X56" s="42">
        <f>(($R$57*$Q$14)+((1-$Q$14)*$R$62))*($Q$9*$R$69)</f>
        <v>13465664.51720569</v>
      </c>
      <c r="Y56" s="42">
        <f>(($R$57*$Q$14)+((1-$Q$14)*$R$62))*($Q$9*$S$69)</f>
        <v>18851930.324087963</v>
      </c>
      <c r="Z56" s="260"/>
      <c r="AA56" s="256">
        <f>W55</f>
        <v>0.09622288942155326</v>
      </c>
      <c r="AB56" s="256">
        <f>X55</f>
        <v>0.14668765087743094</v>
      </c>
      <c r="AC56" s="256">
        <f>Y55</f>
        <v>0.1998703022568027</v>
      </c>
      <c r="AD56" s="41" t="s">
        <v>132</v>
      </c>
    </row>
    <row r="57" spans="2:30" ht="15.75" thickTop="1">
      <c r="B57" t="s">
        <v>137</v>
      </c>
      <c r="C57" s="99">
        <f>D89/$D$79</f>
        <v>0.825</v>
      </c>
      <c r="D57" s="99">
        <f aca="true" t="shared" si="2" ref="C57:E59">E89/$D$79</f>
        <v>0.8915</v>
      </c>
      <c r="E57" s="99">
        <f t="shared" si="2"/>
        <v>0.958</v>
      </c>
      <c r="F57" s="95"/>
      <c r="O57" t="s">
        <v>153</v>
      </c>
      <c r="P57" t="s">
        <v>137</v>
      </c>
      <c r="Q57" s="55">
        <f>Outpatients!B12</f>
        <v>0.825</v>
      </c>
      <c r="R57" s="55">
        <f>Outpatients!D12</f>
        <v>0.8915</v>
      </c>
      <c r="S57" s="55">
        <f>Outpatients!G12</f>
        <v>0.958</v>
      </c>
      <c r="V57" s="45" t="s">
        <v>309</v>
      </c>
      <c r="W57" s="46">
        <f>(($Q$57*$Q$14)+((1-$Q$14)*$Q$62))*($Q$9*$Q$69)</f>
        <v>7885019.821862765</v>
      </c>
      <c r="X57" s="46">
        <f>(($Q$57*$Q$14)+((1-$Q$14)*$Q$62))*($Q$9*$R$69)</f>
        <v>12450031.29767805</v>
      </c>
      <c r="Y57" s="46">
        <f>(($Q$57*$Q$14)+((1-$Q$14)*$Q$62))*($Q$9*$S$69)</f>
        <v>17430043.816749267</v>
      </c>
      <c r="Z57" s="40" t="s">
        <v>137</v>
      </c>
      <c r="AA57" s="43">
        <f>(Q69*$Q$9*$R$57*$Q$14)/W65</f>
        <v>0.08796867392329226</v>
      </c>
      <c r="AB57" s="43">
        <f>(R69*$Q$9*$R$57*$Q$14)/X65</f>
        <v>0.09038964744799265</v>
      </c>
      <c r="AC57" s="43">
        <f>(S69*$Q$9*$R$57*$Q$14)/Y65</f>
        <v>0.09236368557090839</v>
      </c>
      <c r="AD57" s="44">
        <f>X56/X65</f>
        <v>0.6252534910513969</v>
      </c>
    </row>
    <row r="58" spans="2:30" ht="15">
      <c r="B58" t="s">
        <v>112</v>
      </c>
      <c r="C58" s="99">
        <f t="shared" si="2"/>
        <v>0.583</v>
      </c>
      <c r="D58" s="99">
        <f t="shared" si="2"/>
        <v>0.615</v>
      </c>
      <c r="E58" s="99">
        <f t="shared" si="2"/>
        <v>0.647</v>
      </c>
      <c r="F58" s="95"/>
      <c r="P58" t="s">
        <v>112</v>
      </c>
      <c r="Q58" s="55">
        <f>Outpatients!B14</f>
        <v>0.583</v>
      </c>
      <c r="R58" s="55">
        <f>Outpatients!D14</f>
        <v>0.615</v>
      </c>
      <c r="S58" s="55">
        <f>Outpatients!G14</f>
        <v>0.647</v>
      </c>
      <c r="V58" s="45" t="s">
        <v>310</v>
      </c>
      <c r="W58" s="46">
        <f>(($S$57*$Q$14)+((1-$Q$14)*$S$62))*($Q$9*$Q$69)</f>
        <v>9171488.566597778</v>
      </c>
      <c r="X58" s="46">
        <f>(($S$57*$Q$14)+((1-$Q$14)*$S$62))*($Q$9*$R$69)</f>
        <v>14481297.736733334</v>
      </c>
      <c r="Y58" s="46">
        <f>(($S$57*$Q$14)+((1-$Q$14)*$S$62))*($Q$9*$S$69)</f>
        <v>20273816.831426665</v>
      </c>
      <c r="Z58" s="47" t="s">
        <v>139</v>
      </c>
      <c r="AA58" s="43">
        <f>(Q70*$R$9*$R$14*$R$58)/W65</f>
        <v>0.09800181393410676</v>
      </c>
      <c r="AB58" s="43">
        <f>(R70*$R$9*$R$14*$R$58)/X65</f>
        <v>0.09110853589678292</v>
      </c>
      <c r="AC58" s="43">
        <f>(S70*$R$9*$R$14*$R$58)/Y65</f>
        <v>0.08644839726023378</v>
      </c>
      <c r="AD58" s="44">
        <f>X59/X65</f>
        <v>0.33698039471560104</v>
      </c>
    </row>
    <row r="59" spans="2:30" ht="16.5" thickBot="1">
      <c r="B59" t="s">
        <v>140</v>
      </c>
      <c r="C59" s="99">
        <f t="shared" si="2"/>
        <v>0.656</v>
      </c>
      <c r="D59" s="99">
        <f t="shared" si="2"/>
        <v>0.669</v>
      </c>
      <c r="E59" s="99">
        <f t="shared" si="2"/>
        <v>0.682</v>
      </c>
      <c r="F59" s="95"/>
      <c r="P59" t="s">
        <v>140</v>
      </c>
      <c r="Q59" s="55">
        <f>Outpatients!B16</f>
        <v>0.656</v>
      </c>
      <c r="R59" s="55">
        <f>Outpatients!D16</f>
        <v>0.669</v>
      </c>
      <c r="S59" s="55">
        <f>Outpatients!G16</f>
        <v>0.682</v>
      </c>
      <c r="U59" s="278"/>
      <c r="V59" s="49" t="s">
        <v>141</v>
      </c>
      <c r="W59" s="42">
        <f>(($R$58*$R$14)+((1-$R$14)*$R$63))*($R$9*$Q$70)</f>
        <v>5080124.311724927</v>
      </c>
      <c r="X59" s="42">
        <f>(($R$58*$R$14)+((1-$R$14)*$R$63))*($R$9*$R$70)</f>
        <v>7257320.445321324</v>
      </c>
      <c r="Y59" s="42">
        <f>(($R$58*$R$14)+((1-$R$14)*$R$63))*($R$9*$S$70)</f>
        <v>9434516.578917721</v>
      </c>
      <c r="Z59" s="47" t="s">
        <v>140</v>
      </c>
      <c r="AA59" s="257">
        <f>(Q71*$S$9*$S$14*$R$59)/W65</f>
        <v>0.01824669674387928</v>
      </c>
      <c r="AB59" s="257">
        <f>(R71*$S$9*$S$14*$R$59)/X65</f>
        <v>0.023748557929420384</v>
      </c>
      <c r="AC59" s="257">
        <f>(S71*$S$9*$S$14*$R$59)/Y65</f>
        <v>0.026000579545875396</v>
      </c>
      <c r="AD59" s="48">
        <f>X62/X65</f>
        <v>0.03776611423300195</v>
      </c>
    </row>
    <row r="60" spans="3:30" ht="16.5" thickTop="1">
      <c r="C60" s="95"/>
      <c r="D60" s="95"/>
      <c r="E60" s="95"/>
      <c r="F60" s="95"/>
      <c r="V60" s="45" t="s">
        <v>309</v>
      </c>
      <c r="W60" s="46">
        <f>(($Q$58*$R$14)+((1-$R$14)*$Q$63))*($R$9*$Q$70)</f>
        <v>4813572.155173822</v>
      </c>
      <c r="X60" s="46">
        <f>(($Q$58*$R$14)+((1-$R$14)*$Q$63))*($R$9*$R$70)</f>
        <v>6876531.650248317</v>
      </c>
      <c r="Y60" s="46">
        <f>(($Q$58*$R$14)+((1-$R$14)*$Q$63))*($R$9*$S$70)</f>
        <v>8939491.145322813</v>
      </c>
      <c r="Z60" s="47" t="s">
        <v>142</v>
      </c>
      <c r="AA60" s="50">
        <f>SUM(AA57:AA59)</f>
        <v>0.20421718460127827</v>
      </c>
      <c r="AB60" s="50">
        <f>SUM(AB57:AB59)</f>
        <v>0.20524674127419595</v>
      </c>
      <c r="AC60" s="50">
        <f>SUM(AC57:AC59)</f>
        <v>0.20481266237701756</v>
      </c>
      <c r="AD60" s="44">
        <f>SUM(AD57:AD59)</f>
        <v>0.9999999999999999</v>
      </c>
    </row>
    <row r="61" spans="2:26" ht="12.75">
      <c r="B61" s="21" t="s">
        <v>143</v>
      </c>
      <c r="C61" s="95"/>
      <c r="D61" s="95"/>
      <c r="E61" s="95"/>
      <c r="F61" s="95"/>
      <c r="P61" s="21" t="s">
        <v>143</v>
      </c>
      <c r="V61" s="45" t="s">
        <v>310</v>
      </c>
      <c r="W61" s="46">
        <f>(($S$58*$R$14)+((1-$R$14)*$S$63))*($R$9*$Q$70)</f>
        <v>5346676.468276035</v>
      </c>
      <c r="X61" s="46">
        <f>(($S$58*$R$14)+((1-$R$14)*$S$63))*($R$9*$R$70)</f>
        <v>7638109.240394334</v>
      </c>
      <c r="Y61" s="46">
        <f>(($S$58*$R$14)+((1-$R$14)*$S$63))*($R$9*$S$70)</f>
        <v>9929542.012512635</v>
      </c>
      <c r="Z61" s="54"/>
    </row>
    <row r="62" spans="2:28" ht="15.75">
      <c r="B62" t="s">
        <v>137</v>
      </c>
      <c r="C62" s="99">
        <f>D85/$D$79</f>
        <v>0.471</v>
      </c>
      <c r="D62" s="99">
        <f aca="true" t="shared" si="3" ref="C62:E64">E85/$D$79</f>
        <v>0.5095</v>
      </c>
      <c r="E62" s="99">
        <f t="shared" si="3"/>
        <v>0.548</v>
      </c>
      <c r="F62" s="95"/>
      <c r="P62" t="s">
        <v>137</v>
      </c>
      <c r="Q62" s="55">
        <f>Outpatients!B20</f>
        <v>0.471</v>
      </c>
      <c r="R62" s="55">
        <f>Outpatients!D20</f>
        <v>0.5095</v>
      </c>
      <c r="S62" s="55">
        <f>Outpatients!G20</f>
        <v>0.548</v>
      </c>
      <c r="V62" s="49" t="s">
        <v>144</v>
      </c>
      <c r="W62" s="42">
        <f>(($R$59*$S$14)+((1-$S$14)*$R$64))*($S$9*$Q$71)</f>
        <v>406671.7192773481</v>
      </c>
      <c r="X62" s="42">
        <f>(($R$59*$S$14)+((1-$S$14)*$R$64))*($S$9*$R$71)</f>
        <v>813343.4385546962</v>
      </c>
      <c r="Y62" s="42">
        <f>(($R$59*$S$14)+((1-$S$14)*$R$64))*($S$9*$S$71)</f>
        <v>1220015.1578320442</v>
      </c>
      <c r="Z62" s="258"/>
      <c r="AA62" s="263"/>
      <c r="AB62" s="263"/>
    </row>
    <row r="63" spans="2:28" ht="12.75">
      <c r="B63" t="s">
        <v>112</v>
      </c>
      <c r="C63" s="99">
        <f t="shared" si="3"/>
        <v>0.333</v>
      </c>
      <c r="D63" s="99">
        <f t="shared" si="3"/>
        <v>0.3515</v>
      </c>
      <c r="E63" s="99">
        <f t="shared" si="3"/>
        <v>0.37</v>
      </c>
      <c r="F63" s="95"/>
      <c r="P63" t="s">
        <v>112</v>
      </c>
      <c r="Q63" s="55">
        <f>Outpatients!B22</f>
        <v>0.333</v>
      </c>
      <c r="R63" s="55">
        <f>Outpatients!D22</f>
        <v>0.3515</v>
      </c>
      <c r="S63" s="55">
        <f>Outpatients!G22</f>
        <v>0.37</v>
      </c>
      <c r="V63" s="45" t="s">
        <v>309</v>
      </c>
      <c r="W63" s="46">
        <f>(($Q$59*$S$14)+((1-$S$14)*$Q$64))*($S$9*$Q$71)</f>
        <v>398936.431043536</v>
      </c>
      <c r="X63" s="46">
        <f>(($Q$59*$S$14)+((1-$S$14)*$Q$64))*($S$9*$R$71)</f>
        <v>797872.862087072</v>
      </c>
      <c r="Y63" s="46">
        <f>(($Q$59*$S$14)+((1-$S$14)*$Q$64))*($S$9*$S$71)</f>
        <v>1196809.2931306078</v>
      </c>
      <c r="Z63" s="258"/>
      <c r="AA63" s="264"/>
      <c r="AB63" s="264"/>
    </row>
    <row r="64" spans="2:28" ht="13.5" thickBot="1">
      <c r="B64" t="s">
        <v>140</v>
      </c>
      <c r="C64" s="99">
        <f t="shared" si="3"/>
        <v>0.375</v>
      </c>
      <c r="D64" s="99">
        <f t="shared" si="3"/>
        <v>0.382</v>
      </c>
      <c r="E64" s="99">
        <f t="shared" si="3"/>
        <v>0.389</v>
      </c>
      <c r="F64" s="95"/>
      <c r="P64" t="s">
        <v>140</v>
      </c>
      <c r="Q64" s="55">
        <f>Outpatients!B24</f>
        <v>0.375</v>
      </c>
      <c r="R64" s="55">
        <f>Outpatients!D24</f>
        <v>0.382</v>
      </c>
      <c r="S64" s="55">
        <f>Outpatients!G24</f>
        <v>0.389</v>
      </c>
      <c r="V64" s="45" t="s">
        <v>310</v>
      </c>
      <c r="W64" s="46">
        <f>(($S$59*$S$14)+((1-$S$14)*$S$64))*($S$9*$Q$71)</f>
        <v>414407.0075111603</v>
      </c>
      <c r="X64" s="46">
        <f>(($S$59*$S$14)+((1-$S$14)*$S$64))*($S$9*$R$71)</f>
        <v>828814.0150223206</v>
      </c>
      <c r="Y64" s="46">
        <f>(($S$59*$S$14)+((1-$S$14)*$S$64))*($S$9*$S$71)</f>
        <v>1243221.0225334808</v>
      </c>
      <c r="Z64" s="259"/>
      <c r="AA64" s="264"/>
      <c r="AB64" s="264"/>
    </row>
    <row r="65" spans="3:28" ht="16.5" thickTop="1">
      <c r="C65" s="95"/>
      <c r="D65" s="95"/>
      <c r="E65" s="95"/>
      <c r="F65" s="95"/>
      <c r="V65" s="30" t="s">
        <v>145</v>
      </c>
      <c r="W65" s="56">
        <f aca="true" t="shared" si="4" ref="W65:Y67">W56+W59+W62</f>
        <v>14015050.225232545</v>
      </c>
      <c r="X65" s="56">
        <f t="shared" si="4"/>
        <v>21536328.40108171</v>
      </c>
      <c r="Y65" s="56">
        <f t="shared" si="4"/>
        <v>29506462.060837727</v>
      </c>
      <c r="Z65" s="259"/>
      <c r="AA65" s="264"/>
      <c r="AB65" s="264"/>
    </row>
    <row r="66" spans="1:28" ht="12.75">
      <c r="A66" s="101" t="s">
        <v>154</v>
      </c>
      <c r="B66" s="21" t="s">
        <v>128</v>
      </c>
      <c r="C66" s="95"/>
      <c r="D66" s="95"/>
      <c r="E66" s="95"/>
      <c r="F66" s="95"/>
      <c r="O66" s="20" t="s">
        <v>154</v>
      </c>
      <c r="P66" s="21" t="s">
        <v>128</v>
      </c>
      <c r="V66" s="338" t="s">
        <v>311</v>
      </c>
      <c r="W66" s="57">
        <f t="shared" si="4"/>
        <v>13097528.408080123</v>
      </c>
      <c r="X66" s="57">
        <f t="shared" si="4"/>
        <v>20124435.810013436</v>
      </c>
      <c r="Y66" s="57">
        <f t="shared" si="4"/>
        <v>27566344.25520269</v>
      </c>
      <c r="Z66" s="259"/>
      <c r="AA66" s="264"/>
      <c r="AB66" s="264"/>
    </row>
    <row r="67" spans="1:25" ht="12.75">
      <c r="A67" s="101" t="s">
        <v>101</v>
      </c>
      <c r="B67" s="60" t="s">
        <v>155</v>
      </c>
      <c r="O67" s="20" t="s">
        <v>101</v>
      </c>
      <c r="P67" s="60" t="s">
        <v>155</v>
      </c>
      <c r="V67" s="45" t="s">
        <v>312</v>
      </c>
      <c r="W67" s="57">
        <f t="shared" si="4"/>
        <v>14932572.042384973</v>
      </c>
      <c r="X67" s="57">
        <f t="shared" si="4"/>
        <v>22948220.992149986</v>
      </c>
      <c r="Y67" s="58">
        <f t="shared" si="4"/>
        <v>31446579.86647278</v>
      </c>
    </row>
    <row r="68" spans="1:19" ht="12.75">
      <c r="A68" s="101"/>
      <c r="C68" t="s">
        <v>29</v>
      </c>
      <c r="D68" t="s">
        <v>30</v>
      </c>
      <c r="E68" t="s">
        <v>31</v>
      </c>
      <c r="Q68" t="s">
        <v>29</v>
      </c>
      <c r="R68" t="s">
        <v>30</v>
      </c>
      <c r="S68" t="s">
        <v>31</v>
      </c>
    </row>
    <row r="69" spans="1:28" ht="15.75">
      <c r="A69" s="101"/>
      <c r="B69" t="s">
        <v>137</v>
      </c>
      <c r="C69" s="100">
        <v>0.19</v>
      </c>
      <c r="D69" s="100">
        <v>0.3</v>
      </c>
      <c r="E69" s="100">
        <v>0.42</v>
      </c>
      <c r="F69" s="95"/>
      <c r="P69" t="s">
        <v>137</v>
      </c>
      <c r="Q69" s="61">
        <f>Attack_Rates!D12</f>
        <v>0.19</v>
      </c>
      <c r="R69" s="61">
        <f>Attack_Rates!F12</f>
        <v>0.3</v>
      </c>
      <c r="S69" s="61">
        <f>Attack_Rates!H12</f>
        <v>0.42</v>
      </c>
      <c r="V69" s="30" t="s">
        <v>298</v>
      </c>
      <c r="W69" s="30" t="s">
        <v>128</v>
      </c>
      <c r="X69" s="30"/>
      <c r="Y69" s="30"/>
      <c r="Z69" s="38" t="s">
        <v>129</v>
      </c>
      <c r="AA69" s="31"/>
      <c r="AB69" s="39"/>
    </row>
    <row r="70" spans="2:28" ht="16.5" thickBot="1">
      <c r="B70" t="s">
        <v>112</v>
      </c>
      <c r="C70" s="100">
        <v>0.07</v>
      </c>
      <c r="D70" s="100">
        <v>0.1</v>
      </c>
      <c r="E70" s="100">
        <v>0.13</v>
      </c>
      <c r="F70" s="95"/>
      <c r="P70" t="s">
        <v>112</v>
      </c>
      <c r="Q70" s="61">
        <f>Attack_Rates!D14</f>
        <v>0.07</v>
      </c>
      <c r="R70" s="61">
        <f>Attack_Rates!F14</f>
        <v>0.1</v>
      </c>
      <c r="S70" s="61">
        <f>Attack_Rates!H14</f>
        <v>0.13</v>
      </c>
      <c r="V70" s="30" t="s">
        <v>302</v>
      </c>
      <c r="W70" s="343">
        <f>$Q$73</f>
        <v>0.09622288942155326</v>
      </c>
      <c r="X70" s="343">
        <f>$R$73</f>
        <v>0.14668765087743094</v>
      </c>
      <c r="Y70" s="343">
        <f>$S$73</f>
        <v>0.1998703022568027</v>
      </c>
      <c r="Z70" s="40"/>
      <c r="AA70" s="41" t="s">
        <v>131</v>
      </c>
      <c r="AB70" s="41" t="s">
        <v>132</v>
      </c>
    </row>
    <row r="71" spans="2:28" ht="16.5" thickTop="1">
      <c r="B71" t="s">
        <v>140</v>
      </c>
      <c r="C71" s="100">
        <v>0.02</v>
      </c>
      <c r="D71" s="100">
        <v>0.04</v>
      </c>
      <c r="E71" s="100">
        <v>0.06</v>
      </c>
      <c r="F71" s="95"/>
      <c r="P71" t="s">
        <v>140</v>
      </c>
      <c r="Q71" s="61">
        <f>Attack_Rates!D16</f>
        <v>0.02</v>
      </c>
      <c r="R71" s="61">
        <f>Attack_Rates!F16</f>
        <v>0.04</v>
      </c>
      <c r="S71" s="61">
        <f>Attack_Rates!H16</f>
        <v>0.06</v>
      </c>
      <c r="V71" s="30" t="s">
        <v>136</v>
      </c>
      <c r="W71" s="42">
        <f>$Q$9*Q69</f>
        <v>15701616.34</v>
      </c>
      <c r="X71" s="42">
        <f>$Q$9*R69</f>
        <v>24792025.8</v>
      </c>
      <c r="Y71" s="42">
        <f>$Q$9*S69</f>
        <v>34708836.12</v>
      </c>
      <c r="Z71" s="40" t="s">
        <v>137</v>
      </c>
      <c r="AA71" s="43"/>
      <c r="AB71" s="44">
        <f>X71/X80</f>
        <v>0.5558525016734613</v>
      </c>
    </row>
    <row r="72" spans="3:28" ht="15">
      <c r="C72" s="95"/>
      <c r="D72" s="95"/>
      <c r="E72" s="95"/>
      <c r="F72" s="95"/>
      <c r="V72" s="45" t="s">
        <v>309</v>
      </c>
      <c r="W72" s="46"/>
      <c r="X72" s="46"/>
      <c r="Y72" s="46"/>
      <c r="Z72" s="47" t="s">
        <v>139</v>
      </c>
      <c r="AA72" s="43"/>
      <c r="AB72" s="44">
        <f>X74/X80</f>
        <v>0.409288178556168</v>
      </c>
    </row>
    <row r="73" spans="2:28" ht="15.75" thickBot="1">
      <c r="B73" t="s">
        <v>240</v>
      </c>
      <c r="C73" s="281">
        <f>(C69*($C$9/$F$9))+(C70*($D$9/$F$9))+(C71*($E$9/$F$9))</f>
        <v>0.09622288942155326</v>
      </c>
      <c r="D73" s="281">
        <f>(D69*($C$9/$F$9))+(D70*($D$9/$F$9))+(D71*($E$9/$F$9))</f>
        <v>0.14668765087743094</v>
      </c>
      <c r="E73" s="281">
        <f>(E69*($C$9/$F$9))+(E70*($D$9/$F$9))+(E71*($E$9/$F$9))</f>
        <v>0.1998703022568027</v>
      </c>
      <c r="F73" s="95"/>
      <c r="P73" t="s">
        <v>240</v>
      </c>
      <c r="Q73" s="281">
        <f>(Q69*($Q$9/$T$9))+(Q70*($R$9/$T$9))+(Q71*($S$9/$T$9))</f>
        <v>0.09622288942155326</v>
      </c>
      <c r="R73" s="281">
        <f>(R69*($Q$9/$T$9))+(R70*($R$9/$T$9))+(R71*($S$9/$T$9))</f>
        <v>0.14668765087743094</v>
      </c>
      <c r="S73" s="281">
        <f>(S69*($Q$9/$T$9))+(S70*($R$9/$T$9))+(S71*($S$9/$T$9))</f>
        <v>0.1998703022568027</v>
      </c>
      <c r="V73" s="45" t="s">
        <v>310</v>
      </c>
      <c r="W73" s="46"/>
      <c r="X73" s="46"/>
      <c r="Y73" s="46"/>
      <c r="Z73" s="47" t="s">
        <v>140</v>
      </c>
      <c r="AA73" s="43"/>
      <c r="AB73" s="48">
        <f>X77/X80</f>
        <v>0.03485931977037063</v>
      </c>
    </row>
    <row r="74" spans="22:28" ht="16.5" thickTop="1">
      <c r="V74" s="49" t="s">
        <v>141</v>
      </c>
      <c r="W74" s="42">
        <f>$R$9*Q70</f>
        <v>12778494.540000001</v>
      </c>
      <c r="X74" s="42">
        <f>$R$9*R70</f>
        <v>18254992.2</v>
      </c>
      <c r="Y74" s="42">
        <f>$R$9*S70</f>
        <v>23731489.86</v>
      </c>
      <c r="Z74" s="47" t="s">
        <v>142</v>
      </c>
      <c r="AA74" s="50"/>
      <c r="AB74" s="44">
        <f>SUM(AB71:AB73)</f>
        <v>1</v>
      </c>
    </row>
    <row r="75" spans="22:28" ht="12.75">
      <c r="V75" s="45" t="s">
        <v>309</v>
      </c>
      <c r="W75" s="46"/>
      <c r="X75" s="46"/>
      <c r="Y75" s="46"/>
      <c r="Z75" s="51"/>
      <c r="AA75" s="52"/>
      <c r="AB75" s="53"/>
    </row>
    <row r="76" spans="22:26" ht="12.75">
      <c r="V76" s="45" t="s">
        <v>310</v>
      </c>
      <c r="W76" s="46"/>
      <c r="X76" s="46"/>
      <c r="Y76" s="46"/>
      <c r="Z76" s="54"/>
    </row>
    <row r="77" spans="22:26" ht="15.75">
      <c r="V77" s="49" t="s">
        <v>144</v>
      </c>
      <c r="W77" s="42">
        <f>$S$9*Q71</f>
        <v>777394.3200000001</v>
      </c>
      <c r="X77" s="42">
        <f>$S$9*R71</f>
        <v>1554788.6400000001</v>
      </c>
      <c r="Y77" s="42">
        <f>$S$9*S71</f>
        <v>2332182.96</v>
      </c>
      <c r="Z77" s="54"/>
    </row>
    <row r="78" spans="22:26" ht="12.75">
      <c r="V78" s="45" t="s">
        <v>309</v>
      </c>
      <c r="W78" s="46"/>
      <c r="X78" s="46"/>
      <c r="Y78" s="46"/>
      <c r="Z78" s="54"/>
    </row>
    <row r="79" spans="4:26" ht="13.5" thickBot="1">
      <c r="D79">
        <v>1000</v>
      </c>
      <c r="V79" s="45" t="s">
        <v>310</v>
      </c>
      <c r="W79" s="46"/>
      <c r="X79" s="46"/>
      <c r="Y79" s="46"/>
      <c r="Z79" s="54"/>
    </row>
    <row r="80" spans="22:26" ht="16.5" thickTop="1">
      <c r="V80" s="30" t="s">
        <v>145</v>
      </c>
      <c r="W80" s="56">
        <f>W71+W74+W77</f>
        <v>29257505.200000003</v>
      </c>
      <c r="X80" s="56">
        <f>X71+X74+X77</f>
        <v>44601806.64</v>
      </c>
      <c r="Y80" s="56">
        <f>Y71+Y74+Y77</f>
        <v>60772508.94</v>
      </c>
      <c r="Z80" s="54"/>
    </row>
    <row r="81" spans="22:26" ht="12.75">
      <c r="V81" s="338" t="s">
        <v>311</v>
      </c>
      <c r="W81" s="57"/>
      <c r="X81" s="57"/>
      <c r="Y81" s="57"/>
      <c r="Z81" s="54"/>
    </row>
    <row r="82" spans="3:25" ht="12.75">
      <c r="C82" t="s">
        <v>295</v>
      </c>
      <c r="V82" s="45" t="s">
        <v>312</v>
      </c>
      <c r="W82" s="57"/>
      <c r="X82" s="57"/>
      <c r="Y82" s="58"/>
    </row>
    <row r="83" spans="3:6" ht="12.75">
      <c r="C83" t="s">
        <v>294</v>
      </c>
      <c r="D83" s="240"/>
      <c r="F83" s="240"/>
    </row>
    <row r="84" spans="3:14" ht="25.5">
      <c r="C84" s="239" t="s">
        <v>290</v>
      </c>
      <c r="D84" s="240" t="s">
        <v>291</v>
      </c>
      <c r="E84" t="s">
        <v>293</v>
      </c>
      <c r="F84" s="240" t="s">
        <v>292</v>
      </c>
      <c r="G84" s="237"/>
      <c r="H84" s="237"/>
      <c r="I84" s="237"/>
      <c r="J84" s="237"/>
      <c r="K84" s="237"/>
      <c r="L84" s="237"/>
      <c r="M84" s="237"/>
      <c r="N84" s="237"/>
    </row>
    <row r="85" spans="3:14" ht="25.5">
      <c r="C85" s="238" t="s">
        <v>289</v>
      </c>
      <c r="D85" s="237">
        <v>471</v>
      </c>
      <c r="E85">
        <f>(D85+F85)/2</f>
        <v>509.5</v>
      </c>
      <c r="F85" s="237">
        <v>548</v>
      </c>
      <c r="G85" s="237"/>
      <c r="H85" s="237"/>
      <c r="M85" s="237"/>
      <c r="N85" s="237"/>
    </row>
    <row r="86" spans="3:14" ht="25.5">
      <c r="C86" s="238" t="s">
        <v>287</v>
      </c>
      <c r="D86" s="237">
        <v>333</v>
      </c>
      <c r="E86">
        <f aca="true" t="shared" si="5" ref="E86:E91">(D86+F86)/2</f>
        <v>351.5</v>
      </c>
      <c r="F86" s="237">
        <v>370</v>
      </c>
      <c r="G86" s="237"/>
      <c r="H86" s="237"/>
      <c r="M86" s="237"/>
      <c r="N86" s="237"/>
    </row>
    <row r="87" spans="3:14" ht="25.5">
      <c r="C87" s="238" t="s">
        <v>288</v>
      </c>
      <c r="D87" s="237">
        <v>375</v>
      </c>
      <c r="E87">
        <f t="shared" si="5"/>
        <v>382</v>
      </c>
      <c r="F87" s="237">
        <v>389</v>
      </c>
      <c r="G87" s="237"/>
      <c r="H87" s="237"/>
      <c r="M87" s="237"/>
      <c r="N87" s="237"/>
    </row>
    <row r="88" spans="3:14" ht="12.75">
      <c r="C88" s="239" t="s">
        <v>134</v>
      </c>
      <c r="D88" s="237"/>
      <c r="F88" s="237"/>
      <c r="G88" s="237"/>
      <c r="H88" s="237"/>
      <c r="M88" s="237"/>
      <c r="N88" s="237"/>
    </row>
    <row r="89" spans="3:14" ht="25.5">
      <c r="C89" s="238" t="s">
        <v>289</v>
      </c>
      <c r="D89" s="237">
        <v>825</v>
      </c>
      <c r="E89">
        <f t="shared" si="5"/>
        <v>891.5</v>
      </c>
      <c r="F89" s="237">
        <v>958</v>
      </c>
      <c r="G89" s="237"/>
      <c r="H89" s="237"/>
      <c r="M89" s="237"/>
      <c r="N89" s="237"/>
    </row>
    <row r="90" spans="3:14" ht="25.5">
      <c r="C90" s="238" t="s">
        <v>287</v>
      </c>
      <c r="D90" s="237">
        <v>583</v>
      </c>
      <c r="E90">
        <f t="shared" si="5"/>
        <v>615</v>
      </c>
      <c r="F90" s="237">
        <v>647</v>
      </c>
      <c r="G90" s="237"/>
      <c r="H90" s="237"/>
      <c r="M90" s="237"/>
      <c r="N90" s="237"/>
    </row>
    <row r="91" spans="3:8" ht="25.5">
      <c r="C91" s="238" t="s">
        <v>288</v>
      </c>
      <c r="D91" s="237">
        <v>656</v>
      </c>
      <c r="E91">
        <f t="shared" si="5"/>
        <v>669</v>
      </c>
      <c r="F91" s="237">
        <v>682</v>
      </c>
      <c r="G91" s="237"/>
      <c r="H91" s="237"/>
    </row>
  </sheetData>
  <sheetProtection/>
  <mergeCells count="3">
    <mergeCell ref="AA25:AC25"/>
    <mergeCell ref="AA40:AC40"/>
    <mergeCell ref="AA55:AC55"/>
  </mergeCells>
  <printOptions/>
  <pageMargins left="0.43" right="0.28" top="0.31" bottom="0.31" header="0.17" footer="0.21"/>
  <pageSetup fitToHeight="1" fitToWidth="1" horizontalDpi="300" verticalDpi="300" orientation="portrait" scale="77" r:id="rId2"/>
  <rowBreaks count="1" manualBreakCount="1">
    <brk id="52" max="255" man="1"/>
  </rowBreaks>
  <drawing r:id="rId1"/>
</worksheet>
</file>

<file path=xl/worksheets/sheet16.xml><?xml version="1.0" encoding="utf-8"?>
<worksheet xmlns="http://schemas.openxmlformats.org/spreadsheetml/2006/main" xmlns:r="http://schemas.openxmlformats.org/officeDocument/2006/relationships">
  <sheetPr codeName="Sheet14"/>
  <dimension ref="A1:H63"/>
  <sheetViews>
    <sheetView zoomScalePageLayoutView="0" workbookViewId="0" topLeftCell="A1">
      <selection activeCell="B6" sqref="B6"/>
    </sheetView>
  </sheetViews>
  <sheetFormatPr defaultColWidth="9.140625" defaultRowHeight="12.75"/>
  <cols>
    <col min="1" max="1" width="15.140625" style="0" customWidth="1"/>
    <col min="2" max="2" width="11.57421875" style="0" customWidth="1"/>
    <col min="3" max="3" width="12.28125" style="0" customWidth="1"/>
    <col min="4" max="4" width="11.28125" style="0" customWidth="1"/>
    <col min="5" max="5" width="12.140625" style="0" customWidth="1"/>
    <col min="8" max="8" width="12.28125" style="0" bestFit="1" customWidth="1"/>
  </cols>
  <sheetData>
    <row r="1" spans="1:5" ht="12.75">
      <c r="A1" s="21" t="s">
        <v>156</v>
      </c>
      <c r="B1" s="21"/>
      <c r="C1" s="21"/>
      <c r="D1" s="21"/>
      <c r="E1" s="62"/>
    </row>
    <row r="2" ht="12.75">
      <c r="E2" s="63"/>
    </row>
    <row r="3" spans="1:5" ht="12.75">
      <c r="A3" s="64" t="s">
        <v>11</v>
      </c>
      <c r="B3" s="23" t="s">
        <v>157</v>
      </c>
      <c r="C3" s="23" t="s">
        <v>158</v>
      </c>
      <c r="D3" s="23" t="s">
        <v>159</v>
      </c>
      <c r="E3" s="23" t="s">
        <v>114</v>
      </c>
    </row>
    <row r="4" spans="1:5" ht="12.75">
      <c r="A4" s="23"/>
      <c r="B4" s="23"/>
      <c r="C4" s="23"/>
      <c r="D4" s="23"/>
      <c r="E4" s="65"/>
    </row>
    <row r="5" spans="1:5" ht="12.75">
      <c r="A5" s="331" t="s">
        <v>39</v>
      </c>
      <c r="B5" s="23"/>
      <c r="C5" s="333"/>
      <c r="D5" s="23"/>
      <c r="E5" s="65"/>
    </row>
    <row r="6" spans="1:5" ht="12.75">
      <c r="A6" s="331" t="s">
        <v>305</v>
      </c>
      <c r="B6" s="333">
        <v>82640086</v>
      </c>
      <c r="C6" s="333">
        <v>182549922</v>
      </c>
      <c r="D6" s="333">
        <f aca="true" t="shared" si="0" ref="D6:D37">E6-B6-C6</f>
        <v>38869716</v>
      </c>
      <c r="E6" s="334">
        <v>304059724</v>
      </c>
    </row>
    <row r="7" spans="1:5" ht="12.75">
      <c r="A7" t="s">
        <v>15</v>
      </c>
      <c r="B7" s="26">
        <v>1254148</v>
      </c>
      <c r="C7" s="26">
        <v>2766085</v>
      </c>
      <c r="D7" s="26">
        <f t="shared" si="0"/>
        <v>641667</v>
      </c>
      <c r="E7" s="26">
        <v>4661900</v>
      </c>
    </row>
    <row r="8" spans="1:5" ht="12.75">
      <c r="A8" t="s">
        <v>40</v>
      </c>
      <c r="B8" s="26">
        <v>199143</v>
      </c>
      <c r="C8" s="26">
        <v>436873</v>
      </c>
      <c r="D8" s="26">
        <f t="shared" si="0"/>
        <v>50277</v>
      </c>
      <c r="E8" s="26">
        <v>686293</v>
      </c>
    </row>
    <row r="9" spans="1:5" ht="12.75">
      <c r="A9" t="s">
        <v>41</v>
      </c>
      <c r="B9" s="26">
        <v>1877877</v>
      </c>
      <c r="C9" s="26">
        <v>3759730</v>
      </c>
      <c r="D9" s="26">
        <f t="shared" si="0"/>
        <v>862573</v>
      </c>
      <c r="E9" s="26">
        <v>6500180</v>
      </c>
    </row>
    <row r="10" spans="1:5" ht="12.75">
      <c r="A10" t="s">
        <v>42</v>
      </c>
      <c r="B10" s="26">
        <v>780302</v>
      </c>
      <c r="C10" s="26">
        <v>1667883</v>
      </c>
      <c r="D10" s="26">
        <f t="shared" si="0"/>
        <v>407205</v>
      </c>
      <c r="E10" s="26">
        <v>2855390</v>
      </c>
    </row>
    <row r="11" spans="1:5" ht="12.75">
      <c r="A11" t="s">
        <v>43</v>
      </c>
      <c r="B11" s="26">
        <v>10500208</v>
      </c>
      <c r="C11" s="26">
        <v>22144962</v>
      </c>
      <c r="D11" s="26">
        <f t="shared" si="0"/>
        <v>4111496</v>
      </c>
      <c r="E11" s="26">
        <v>36756666</v>
      </c>
    </row>
    <row r="12" spans="1:5" ht="12.75">
      <c r="A12" t="s">
        <v>160</v>
      </c>
      <c r="B12" s="26">
        <v>1332681</v>
      </c>
      <c r="C12" s="26">
        <v>3095681</v>
      </c>
      <c r="D12" s="26">
        <f t="shared" si="0"/>
        <v>511094</v>
      </c>
      <c r="E12" s="26">
        <v>4939456</v>
      </c>
    </row>
    <row r="13" spans="1:5" ht="12.75">
      <c r="A13" t="s">
        <v>44</v>
      </c>
      <c r="B13" s="26">
        <v>913629</v>
      </c>
      <c r="C13" s="26">
        <v>2109616</v>
      </c>
      <c r="D13" s="26">
        <f t="shared" si="0"/>
        <v>478007</v>
      </c>
      <c r="E13" s="26">
        <v>3501252</v>
      </c>
    </row>
    <row r="14" spans="1:5" ht="12.75">
      <c r="A14" t="s">
        <v>45</v>
      </c>
      <c r="B14" s="26">
        <v>232163</v>
      </c>
      <c r="C14" s="26">
        <v>519241</v>
      </c>
      <c r="D14" s="26">
        <f t="shared" si="0"/>
        <v>121688</v>
      </c>
      <c r="E14" s="26">
        <v>873092</v>
      </c>
    </row>
    <row r="15" spans="1:5" ht="12.75">
      <c r="A15" t="s">
        <v>46</v>
      </c>
      <c r="B15" s="26">
        <v>133671</v>
      </c>
      <c r="C15" s="26">
        <v>387514</v>
      </c>
      <c r="D15" s="26">
        <f t="shared" si="0"/>
        <v>70648</v>
      </c>
      <c r="E15" s="26">
        <v>591833</v>
      </c>
    </row>
    <row r="16" spans="1:5" ht="12.75">
      <c r="A16" t="s">
        <v>47</v>
      </c>
      <c r="B16" s="26">
        <v>4462933</v>
      </c>
      <c r="C16" s="26">
        <v>10677610</v>
      </c>
      <c r="D16" s="26">
        <f t="shared" si="0"/>
        <v>3187797</v>
      </c>
      <c r="E16" s="26">
        <v>18328340</v>
      </c>
    </row>
    <row r="17" spans="1:5" ht="12.75">
      <c r="A17" t="s">
        <v>48</v>
      </c>
      <c r="B17" s="26">
        <v>2815661</v>
      </c>
      <c r="C17" s="26">
        <v>5889059</v>
      </c>
      <c r="D17" s="26">
        <f t="shared" si="0"/>
        <v>981024</v>
      </c>
      <c r="E17" s="26">
        <v>9685744</v>
      </c>
    </row>
    <row r="18" spans="1:5" ht="12.75">
      <c r="A18" t="s">
        <v>50</v>
      </c>
      <c r="B18" s="26">
        <v>318290</v>
      </c>
      <c r="C18" s="26">
        <v>779841</v>
      </c>
      <c r="D18" s="26">
        <f t="shared" si="0"/>
        <v>190067</v>
      </c>
      <c r="E18" s="26">
        <v>1288198</v>
      </c>
    </row>
    <row r="19" spans="1:5" ht="12.75">
      <c r="A19" t="s">
        <v>51</v>
      </c>
      <c r="B19" s="26">
        <v>456189</v>
      </c>
      <c r="C19" s="26">
        <v>885477</v>
      </c>
      <c r="D19" s="26">
        <f t="shared" si="0"/>
        <v>182150</v>
      </c>
      <c r="E19" s="26">
        <v>1523816</v>
      </c>
    </row>
    <row r="20" spans="1:5" ht="12.75">
      <c r="A20" t="s">
        <v>52</v>
      </c>
      <c r="B20" s="26">
        <v>3571980</v>
      </c>
      <c r="C20" s="26">
        <v>7754275</v>
      </c>
      <c r="D20" s="26">
        <f t="shared" si="0"/>
        <v>1575308</v>
      </c>
      <c r="E20" s="26">
        <v>12901563</v>
      </c>
    </row>
    <row r="21" spans="1:5" ht="12.75">
      <c r="A21" t="s">
        <v>53</v>
      </c>
      <c r="B21" s="26">
        <v>1763623</v>
      </c>
      <c r="C21" s="26">
        <v>3799330</v>
      </c>
      <c r="D21" s="26">
        <f t="shared" si="0"/>
        <v>813839</v>
      </c>
      <c r="E21" s="26">
        <v>6376792</v>
      </c>
    </row>
    <row r="22" spans="1:5" ht="12.75">
      <c r="A22" t="s">
        <v>54</v>
      </c>
      <c r="B22" s="26">
        <v>803544</v>
      </c>
      <c r="C22" s="26">
        <v>1754457</v>
      </c>
      <c r="D22" s="26">
        <f t="shared" si="0"/>
        <v>444554</v>
      </c>
      <c r="E22" s="26">
        <v>3002555</v>
      </c>
    </row>
    <row r="23" spans="1:5" ht="12.75">
      <c r="A23" t="s">
        <v>55</v>
      </c>
      <c r="B23" s="26">
        <v>782430</v>
      </c>
      <c r="C23" s="26">
        <v>1652998</v>
      </c>
      <c r="D23" s="26">
        <f t="shared" si="0"/>
        <v>366706</v>
      </c>
      <c r="E23" s="26">
        <v>2802134</v>
      </c>
    </row>
    <row r="24" spans="1:5" ht="12.75">
      <c r="A24" t="s">
        <v>56</v>
      </c>
      <c r="B24" s="26">
        <v>1116510</v>
      </c>
      <c r="C24" s="26">
        <v>2586867</v>
      </c>
      <c r="D24" s="26">
        <f t="shared" si="0"/>
        <v>565868</v>
      </c>
      <c r="E24" s="26">
        <v>4269245</v>
      </c>
    </row>
    <row r="25" spans="1:5" ht="12.75">
      <c r="A25" t="s">
        <v>161</v>
      </c>
      <c r="B25" s="26">
        <v>1243361</v>
      </c>
      <c r="C25" s="26">
        <v>2627124</v>
      </c>
      <c r="D25" s="26">
        <f t="shared" si="0"/>
        <v>540311</v>
      </c>
      <c r="E25" s="26">
        <v>4410796</v>
      </c>
    </row>
    <row r="26" spans="1:5" ht="12.75">
      <c r="A26" t="s">
        <v>57</v>
      </c>
      <c r="B26" s="26">
        <v>309166</v>
      </c>
      <c r="C26" s="26">
        <v>808103</v>
      </c>
      <c r="D26" s="26">
        <f t="shared" si="0"/>
        <v>199187</v>
      </c>
      <c r="E26" s="26">
        <v>1316456</v>
      </c>
    </row>
    <row r="27" spans="1:5" ht="12.75">
      <c r="A27" t="s">
        <v>58</v>
      </c>
      <c r="B27" s="26">
        <v>1506879</v>
      </c>
      <c r="C27" s="26">
        <v>3447153</v>
      </c>
      <c r="D27" s="26">
        <f t="shared" si="0"/>
        <v>679565</v>
      </c>
      <c r="E27" s="26">
        <v>5633597</v>
      </c>
    </row>
    <row r="28" spans="1:5" ht="12.75">
      <c r="A28" t="s">
        <v>59</v>
      </c>
      <c r="B28" s="26">
        <v>1627928</v>
      </c>
      <c r="C28" s="26">
        <v>3998941</v>
      </c>
      <c r="D28" s="26">
        <f t="shared" si="0"/>
        <v>871098</v>
      </c>
      <c r="E28" s="26">
        <v>6497967</v>
      </c>
    </row>
    <row r="29" spans="1:5" ht="12.75">
      <c r="A29" t="s">
        <v>60</v>
      </c>
      <c r="B29" s="26">
        <v>2685515</v>
      </c>
      <c r="C29" s="26">
        <v>6013585</v>
      </c>
      <c r="D29" s="26">
        <f t="shared" si="0"/>
        <v>1304322</v>
      </c>
      <c r="E29" s="26">
        <v>10003422</v>
      </c>
    </row>
    <row r="30" spans="1:5" ht="12.75">
      <c r="A30" t="s">
        <v>61</v>
      </c>
      <c r="B30" s="26">
        <v>1402406</v>
      </c>
      <c r="C30" s="26">
        <v>3167468</v>
      </c>
      <c r="D30" s="26">
        <f t="shared" si="0"/>
        <v>650519</v>
      </c>
      <c r="E30" s="26">
        <v>5220393</v>
      </c>
    </row>
    <row r="31" spans="1:5" ht="12.75">
      <c r="A31" t="s">
        <v>62</v>
      </c>
      <c r="B31" s="26">
        <v>858395</v>
      </c>
      <c r="C31" s="26">
        <v>1708625</v>
      </c>
      <c r="D31" s="26">
        <f t="shared" si="0"/>
        <v>371598</v>
      </c>
      <c r="E31" s="26">
        <v>2938618</v>
      </c>
    </row>
    <row r="32" spans="1:5" ht="12.75">
      <c r="A32" t="s">
        <v>63</v>
      </c>
      <c r="B32" s="26">
        <v>1582696</v>
      </c>
      <c r="C32" s="26">
        <v>3523674</v>
      </c>
      <c r="D32" s="26">
        <f t="shared" si="0"/>
        <v>805235</v>
      </c>
      <c r="E32" s="26">
        <v>5911605</v>
      </c>
    </row>
    <row r="33" spans="1:5" ht="12.75">
      <c r="A33" t="s">
        <v>64</v>
      </c>
      <c r="B33" s="26">
        <v>246441</v>
      </c>
      <c r="C33" s="26">
        <v>583687</v>
      </c>
      <c r="D33" s="26">
        <f t="shared" si="0"/>
        <v>137312</v>
      </c>
      <c r="E33" s="26">
        <v>967440</v>
      </c>
    </row>
    <row r="34" spans="1:5" ht="12.75">
      <c r="A34" t="s">
        <v>65</v>
      </c>
      <c r="B34" s="26">
        <v>500347</v>
      </c>
      <c r="C34" s="26">
        <v>1042238</v>
      </c>
      <c r="D34" s="26">
        <f t="shared" si="0"/>
        <v>240847</v>
      </c>
      <c r="E34" s="26">
        <v>1783432</v>
      </c>
    </row>
    <row r="35" spans="1:5" ht="12.75">
      <c r="A35" t="s">
        <v>66</v>
      </c>
      <c r="B35" s="26">
        <v>725483</v>
      </c>
      <c r="C35" s="26">
        <v>1577967</v>
      </c>
      <c r="D35" s="26">
        <f t="shared" si="0"/>
        <v>296717</v>
      </c>
      <c r="E35" s="26">
        <v>2600167</v>
      </c>
    </row>
    <row r="36" spans="1:8" ht="12.75">
      <c r="A36" t="s">
        <v>67</v>
      </c>
      <c r="B36" s="26">
        <v>329820</v>
      </c>
      <c r="C36" s="26">
        <v>816011</v>
      </c>
      <c r="D36" s="26">
        <f t="shared" si="0"/>
        <v>169978</v>
      </c>
      <c r="E36" s="26">
        <v>1315809</v>
      </c>
      <c r="H36" s="332">
        <f>SUM(B7:B57)</f>
        <v>82613029</v>
      </c>
    </row>
    <row r="37" spans="1:8" ht="12.75">
      <c r="A37" t="s">
        <v>68</v>
      </c>
      <c r="B37" s="26">
        <v>2276759</v>
      </c>
      <c r="C37" s="26">
        <v>5254961</v>
      </c>
      <c r="D37" s="26">
        <f t="shared" si="0"/>
        <v>1150941</v>
      </c>
      <c r="E37" s="26">
        <v>8682661</v>
      </c>
      <c r="H37" s="332">
        <f>SUM(C7:C57)</f>
        <v>182552914</v>
      </c>
    </row>
    <row r="38" spans="1:8" ht="12.75">
      <c r="A38" t="s">
        <v>69</v>
      </c>
      <c r="B38" s="26">
        <v>561318</v>
      </c>
      <c r="C38" s="26">
        <v>1162987</v>
      </c>
      <c r="D38" s="26">
        <f aca="true" t="shared" si="1" ref="D38:D57">E38-B38-C38</f>
        <v>260051</v>
      </c>
      <c r="E38" s="26">
        <v>1984356</v>
      </c>
      <c r="H38" s="332">
        <f>SUM(D7:D57)</f>
        <v>38893781</v>
      </c>
    </row>
    <row r="39" spans="1:8" ht="12.75">
      <c r="A39" t="s">
        <v>70</v>
      </c>
      <c r="B39" s="26">
        <v>5007190</v>
      </c>
      <c r="C39" s="26">
        <v>11875435</v>
      </c>
      <c r="D39" s="26">
        <f t="shared" si="1"/>
        <v>2607672</v>
      </c>
      <c r="E39" s="26">
        <v>19490297</v>
      </c>
      <c r="H39" s="332">
        <f>SUM(H36:H38)</f>
        <v>304059724</v>
      </c>
    </row>
    <row r="40" spans="1:5" ht="12.75">
      <c r="A40" t="s">
        <v>71</v>
      </c>
      <c r="B40" s="26">
        <v>2473001</v>
      </c>
      <c r="C40" s="26">
        <v>5583361</v>
      </c>
      <c r="D40" s="26">
        <f t="shared" si="1"/>
        <v>1166052</v>
      </c>
      <c r="E40" s="26">
        <v>9222414</v>
      </c>
    </row>
    <row r="41" spans="1:5" ht="12.75">
      <c r="A41" t="s">
        <v>72</v>
      </c>
      <c r="B41" s="26">
        <v>165593</v>
      </c>
      <c r="C41" s="26">
        <v>381612</v>
      </c>
      <c r="D41" s="26">
        <f t="shared" si="1"/>
        <v>94276</v>
      </c>
      <c r="E41" s="26">
        <v>641481</v>
      </c>
    </row>
    <row r="42" spans="1:5" ht="12.75">
      <c r="A42" t="s">
        <v>73</v>
      </c>
      <c r="B42" s="26">
        <v>3049562</v>
      </c>
      <c r="C42" s="26">
        <v>6865511</v>
      </c>
      <c r="D42" s="26">
        <f t="shared" si="1"/>
        <v>1570837</v>
      </c>
      <c r="E42" s="26">
        <v>11485910</v>
      </c>
    </row>
    <row r="43" spans="1:5" ht="12.75">
      <c r="A43" t="s">
        <v>74</v>
      </c>
      <c r="B43" s="26">
        <v>1005750</v>
      </c>
      <c r="C43" s="26">
        <v>2145974</v>
      </c>
      <c r="D43" s="26">
        <f t="shared" si="1"/>
        <v>490637</v>
      </c>
      <c r="E43" s="26">
        <v>3642361</v>
      </c>
    </row>
    <row r="44" spans="1:5" ht="12.75">
      <c r="A44" t="s">
        <v>75</v>
      </c>
      <c r="B44" s="26">
        <v>963070</v>
      </c>
      <c r="C44" s="26">
        <v>2322992</v>
      </c>
      <c r="D44" s="26">
        <f t="shared" si="1"/>
        <v>503998</v>
      </c>
      <c r="E44" s="26">
        <v>3790060</v>
      </c>
    </row>
    <row r="45" spans="1:5" ht="12.75">
      <c r="A45" t="s">
        <v>76</v>
      </c>
      <c r="B45" s="26">
        <v>3136557</v>
      </c>
      <c r="C45" s="26">
        <v>7401091</v>
      </c>
      <c r="D45" s="26">
        <f t="shared" si="1"/>
        <v>1910631</v>
      </c>
      <c r="E45" s="26">
        <v>12448279</v>
      </c>
    </row>
    <row r="46" spans="1:5" ht="12.75">
      <c r="A46" t="s">
        <v>78</v>
      </c>
      <c r="B46" s="26">
        <v>265594</v>
      </c>
      <c r="C46" s="26">
        <v>637538</v>
      </c>
      <c r="D46" s="26">
        <f t="shared" si="1"/>
        <v>147656</v>
      </c>
      <c r="E46" s="26">
        <v>1050788</v>
      </c>
    </row>
    <row r="47" spans="1:5" ht="12.75">
      <c r="A47" t="s">
        <v>79</v>
      </c>
      <c r="B47" s="26">
        <v>1200501</v>
      </c>
      <c r="C47" s="26">
        <v>2683004</v>
      </c>
      <c r="D47" s="26">
        <f t="shared" si="1"/>
        <v>596295</v>
      </c>
      <c r="E47" s="26">
        <v>4479800</v>
      </c>
    </row>
    <row r="48" spans="1:5" ht="12.75">
      <c r="A48" t="s">
        <v>80</v>
      </c>
      <c r="B48" s="26">
        <v>221461</v>
      </c>
      <c r="C48" s="26">
        <v>466633</v>
      </c>
      <c r="D48" s="26">
        <f t="shared" si="1"/>
        <v>116100</v>
      </c>
      <c r="E48" s="26">
        <v>804194</v>
      </c>
    </row>
    <row r="49" spans="1:5" ht="12.75">
      <c r="A49" t="s">
        <v>81</v>
      </c>
      <c r="B49" s="26">
        <v>1636718</v>
      </c>
      <c r="C49" s="26">
        <v>3758544</v>
      </c>
      <c r="D49" s="26">
        <f t="shared" si="1"/>
        <v>819626</v>
      </c>
      <c r="E49" s="26">
        <v>6214888</v>
      </c>
    </row>
    <row r="50" spans="1:5" ht="12.75">
      <c r="A50" t="s">
        <v>82</v>
      </c>
      <c r="B50" s="26">
        <v>7421946</v>
      </c>
      <c r="C50" s="26">
        <v>14432805</v>
      </c>
      <c r="D50" s="26">
        <f t="shared" si="1"/>
        <v>2472223</v>
      </c>
      <c r="E50" s="26">
        <v>24326974</v>
      </c>
    </row>
    <row r="51" spans="1:5" ht="12.75">
      <c r="A51" t="s">
        <v>83</v>
      </c>
      <c r="B51" s="26">
        <v>936275</v>
      </c>
      <c r="C51" s="26">
        <v>1553947</v>
      </c>
      <c r="D51" s="26">
        <f t="shared" si="1"/>
        <v>246202</v>
      </c>
      <c r="E51" s="26">
        <v>2736424</v>
      </c>
    </row>
    <row r="52" spans="1:5" ht="12.75">
      <c r="A52" t="s">
        <v>84</v>
      </c>
      <c r="B52" s="26">
        <v>148441</v>
      </c>
      <c r="C52" s="26">
        <v>386180</v>
      </c>
      <c r="D52" s="26">
        <f t="shared" si="1"/>
        <v>86649</v>
      </c>
      <c r="E52" s="26">
        <v>621270</v>
      </c>
    </row>
    <row r="53" spans="1:5" ht="12.75">
      <c r="A53" t="s">
        <v>85</v>
      </c>
      <c r="B53" s="26">
        <v>2046241</v>
      </c>
      <c r="C53" s="26">
        <v>4782271</v>
      </c>
      <c r="D53" s="26">
        <f t="shared" si="1"/>
        <v>940577</v>
      </c>
      <c r="E53" s="26">
        <v>7769089</v>
      </c>
    </row>
    <row r="54" spans="1:5" ht="12.75">
      <c r="A54" t="s">
        <v>86</v>
      </c>
      <c r="B54" s="26">
        <v>1710861</v>
      </c>
      <c r="C54" s="26">
        <v>4054486</v>
      </c>
      <c r="D54" s="26">
        <f t="shared" si="1"/>
        <v>783877</v>
      </c>
      <c r="E54" s="26">
        <v>6549224</v>
      </c>
    </row>
    <row r="55" spans="1:5" ht="12.75">
      <c r="A55" t="s">
        <v>87</v>
      </c>
      <c r="B55" s="26">
        <v>433731</v>
      </c>
      <c r="C55" s="26">
        <v>1095673</v>
      </c>
      <c r="D55" s="26">
        <f t="shared" si="1"/>
        <v>285064</v>
      </c>
      <c r="E55" s="26">
        <v>1814468</v>
      </c>
    </row>
    <row r="56" spans="1:5" ht="12.75">
      <c r="A56" t="s">
        <v>88</v>
      </c>
      <c r="B56" s="26">
        <v>1475448</v>
      </c>
      <c r="C56" s="26">
        <v>3402373</v>
      </c>
      <c r="D56" s="26">
        <f t="shared" si="1"/>
        <v>750146</v>
      </c>
      <c r="E56" s="26">
        <v>5627967</v>
      </c>
    </row>
    <row r="57" spans="1:5" ht="12.75">
      <c r="A57" t="s">
        <v>89</v>
      </c>
      <c r="B57" s="26">
        <v>143593</v>
      </c>
      <c r="C57" s="26">
        <v>323461</v>
      </c>
      <c r="D57" s="26">
        <f t="shared" si="1"/>
        <v>65614</v>
      </c>
      <c r="E57" s="26">
        <v>532668</v>
      </c>
    </row>
    <row r="58" spans="2:5" ht="12.75">
      <c r="B58" s="26">
        <f>SUM(B7:B57)</f>
        <v>82613029</v>
      </c>
      <c r="C58" s="26">
        <f>SUM(C7:C57)</f>
        <v>182552914</v>
      </c>
      <c r="D58" s="26">
        <f>SUM(D7:D57)</f>
        <v>38893781</v>
      </c>
      <c r="E58" s="26">
        <f>SUM(E7:E57)</f>
        <v>304059724</v>
      </c>
    </row>
    <row r="59" spans="2:5" ht="12.75">
      <c r="B59" s="26"/>
      <c r="C59" s="26"/>
      <c r="D59" s="26"/>
      <c r="E59" s="26"/>
    </row>
    <row r="60" spans="1:6" ht="12.75">
      <c r="A60" t="s">
        <v>49</v>
      </c>
      <c r="B60" s="26">
        <v>44423.30789460059</v>
      </c>
      <c r="C60" s="26">
        <v>118054.6921053994</v>
      </c>
      <c r="D60" s="66">
        <v>10982</v>
      </c>
      <c r="E60" s="26">
        <v>173460</v>
      </c>
      <c r="F60" s="332"/>
    </row>
    <row r="61" spans="1:5" ht="12.75">
      <c r="A61" t="s">
        <v>77</v>
      </c>
      <c r="B61" s="26">
        <v>982273</v>
      </c>
      <c r="C61" s="26">
        <v>2610385</v>
      </c>
      <c r="D61" s="26">
        <v>540006</v>
      </c>
      <c r="E61" s="26">
        <v>3954037</v>
      </c>
    </row>
    <row r="62" spans="1:5" ht="12.75">
      <c r="A62" t="s">
        <v>162</v>
      </c>
      <c r="B62" s="66">
        <v>34703</v>
      </c>
      <c r="C62" s="66">
        <v>61896</v>
      </c>
      <c r="D62" s="66">
        <v>13222</v>
      </c>
      <c r="E62" s="26">
        <v>109821</v>
      </c>
    </row>
    <row r="63" spans="1:5" ht="12.75">
      <c r="A63" s="67" t="s">
        <v>163</v>
      </c>
      <c r="B63" s="68">
        <v>74924121</v>
      </c>
      <c r="C63" s="68">
        <v>206674665</v>
      </c>
      <c r="D63" s="68">
        <v>39420704</v>
      </c>
      <c r="E63" s="68">
        <v>308187221</v>
      </c>
    </row>
  </sheetData>
  <sheetProtection/>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5">
    <pageSetUpPr fitToPage="1"/>
  </sheetPr>
  <dimension ref="A1:O103"/>
  <sheetViews>
    <sheetView zoomScalePageLayoutView="0" workbookViewId="0" topLeftCell="A1">
      <selection activeCell="D19" sqref="D19"/>
    </sheetView>
  </sheetViews>
  <sheetFormatPr defaultColWidth="9.140625" defaultRowHeight="12.75"/>
  <cols>
    <col min="1" max="1" width="10.57421875" style="0" customWidth="1"/>
    <col min="2" max="3" width="9.421875" style="0" customWidth="1"/>
    <col min="4" max="4" width="8.140625" style="0" customWidth="1"/>
    <col min="5" max="5" width="8.57421875" style="0" customWidth="1"/>
    <col min="6" max="6" width="13.7109375" style="0" customWidth="1"/>
    <col min="7" max="7" width="8.28125" style="0" customWidth="1"/>
    <col min="8" max="8" width="8.00390625" style="0" customWidth="1"/>
    <col min="9" max="9" width="7.8515625" style="0" customWidth="1"/>
    <col min="10" max="10" width="7.7109375" style="0" customWidth="1"/>
    <col min="11" max="11" width="7.57421875" style="0" customWidth="1"/>
    <col min="12" max="12" width="7.7109375" style="0" customWidth="1"/>
    <col min="14" max="14" width="8.8515625" style="0" customWidth="1"/>
    <col min="15" max="15" width="7.57421875" style="0" customWidth="1"/>
  </cols>
  <sheetData>
    <row r="1" spans="2:15" ht="63" customHeight="1">
      <c r="B1" s="411" t="s">
        <v>164</v>
      </c>
      <c r="C1" s="411"/>
      <c r="D1" s="411"/>
      <c r="E1" s="411"/>
      <c r="F1" s="411"/>
      <c r="G1" s="411"/>
      <c r="H1" s="411"/>
      <c r="I1" s="411"/>
      <c r="J1" s="411"/>
      <c r="K1" s="411"/>
      <c r="L1" s="411"/>
      <c r="M1" s="411"/>
      <c r="N1" s="411"/>
      <c r="O1" s="411"/>
    </row>
    <row r="2" spans="1:15" ht="87.75" customHeight="1">
      <c r="A2" s="69" t="s">
        <v>165</v>
      </c>
      <c r="B2" s="70" t="s">
        <v>166</v>
      </c>
      <c r="C2" s="71" t="s">
        <v>167</v>
      </c>
      <c r="D2" s="71" t="s">
        <v>168</v>
      </c>
      <c r="E2" s="71" t="s">
        <v>169</v>
      </c>
      <c r="F2" s="71" t="s">
        <v>170</v>
      </c>
      <c r="G2" s="71" t="s">
        <v>171</v>
      </c>
      <c r="H2" s="71" t="s">
        <v>172</v>
      </c>
      <c r="I2" s="71" t="s">
        <v>173</v>
      </c>
      <c r="J2" s="71" t="s">
        <v>174</v>
      </c>
      <c r="K2" s="71" t="s">
        <v>175</v>
      </c>
      <c r="L2" s="71" t="s">
        <v>176</v>
      </c>
      <c r="M2" s="71" t="s">
        <v>177</v>
      </c>
      <c r="N2" s="71" t="s">
        <v>178</v>
      </c>
      <c r="O2" s="70" t="s">
        <v>179</v>
      </c>
    </row>
    <row r="3" spans="1:15" ht="12.75">
      <c r="A3" s="72" t="s">
        <v>180</v>
      </c>
      <c r="B3" s="73">
        <f>SUM(B4:B10)</f>
        <v>297.09999999999997</v>
      </c>
      <c r="C3" s="74">
        <v>57</v>
      </c>
      <c r="D3" s="74">
        <v>17.4</v>
      </c>
      <c r="E3" s="74">
        <v>26</v>
      </c>
      <c r="F3" s="74">
        <v>16.2</v>
      </c>
      <c r="G3" s="74">
        <v>3.8</v>
      </c>
      <c r="H3" s="74">
        <v>3.3</v>
      </c>
      <c r="I3" s="74">
        <v>2.7</v>
      </c>
      <c r="J3" s="75">
        <v>6627</v>
      </c>
      <c r="K3" s="75">
        <v>109348</v>
      </c>
      <c r="L3" s="74">
        <v>1.3</v>
      </c>
      <c r="M3" s="75">
        <v>18228</v>
      </c>
      <c r="N3" s="75">
        <v>562002</v>
      </c>
      <c r="O3" s="74">
        <v>2.4</v>
      </c>
    </row>
    <row r="4" spans="1:15" ht="12.75">
      <c r="A4" s="72" t="s">
        <v>181</v>
      </c>
      <c r="B4" s="74">
        <v>4.1</v>
      </c>
      <c r="C4" s="74">
        <v>0.2</v>
      </c>
      <c r="D4" s="74">
        <v>0</v>
      </c>
      <c r="E4" s="74">
        <v>0</v>
      </c>
      <c r="F4" s="76"/>
      <c r="G4" s="74">
        <v>0</v>
      </c>
      <c r="H4" s="76"/>
      <c r="I4" s="76"/>
      <c r="J4" s="75">
        <v>0</v>
      </c>
      <c r="K4" s="75">
        <v>4258</v>
      </c>
      <c r="L4" s="74">
        <v>0.1</v>
      </c>
      <c r="M4" s="75">
        <v>0</v>
      </c>
      <c r="N4" s="75">
        <v>2902</v>
      </c>
      <c r="O4" s="76"/>
    </row>
    <row r="5" spans="1:15" ht="12.75">
      <c r="A5" s="72" t="s">
        <v>182</v>
      </c>
      <c r="B5" s="74">
        <v>4</v>
      </c>
      <c r="C5" s="74">
        <v>0.3</v>
      </c>
      <c r="D5" s="74">
        <v>0</v>
      </c>
      <c r="E5" s="74">
        <v>0</v>
      </c>
      <c r="F5" s="76"/>
      <c r="G5" s="74">
        <v>0.1</v>
      </c>
      <c r="H5" s="76"/>
      <c r="I5" s="76"/>
      <c r="J5" s="75">
        <v>0</v>
      </c>
      <c r="K5" s="75">
        <v>0</v>
      </c>
      <c r="L5" s="74">
        <v>0.1</v>
      </c>
      <c r="M5" s="75">
        <v>0</v>
      </c>
      <c r="N5" s="75">
        <v>15469</v>
      </c>
      <c r="O5" s="76"/>
    </row>
    <row r="6" spans="1:15" ht="12.75">
      <c r="A6" s="77" t="s">
        <v>183</v>
      </c>
      <c r="B6" s="74">
        <v>12.5</v>
      </c>
      <c r="C6" s="74">
        <v>1.1</v>
      </c>
      <c r="D6" s="74">
        <v>0</v>
      </c>
      <c r="E6" s="74">
        <v>0.2</v>
      </c>
      <c r="F6" s="76"/>
      <c r="G6" s="74">
        <v>0.7</v>
      </c>
      <c r="H6" s="76"/>
      <c r="I6" s="76"/>
      <c r="J6" s="75">
        <v>6627</v>
      </c>
      <c r="K6" s="75">
        <v>28889</v>
      </c>
      <c r="L6" s="74">
        <v>0.2</v>
      </c>
      <c r="M6" s="75">
        <v>2140</v>
      </c>
      <c r="N6" s="75">
        <v>112184</v>
      </c>
      <c r="O6" s="76"/>
    </row>
    <row r="7" spans="1:15" ht="12.75">
      <c r="A7" s="77" t="s">
        <v>184</v>
      </c>
      <c r="B7" s="74">
        <v>53.2</v>
      </c>
      <c r="C7" s="74">
        <v>4.9</v>
      </c>
      <c r="D7" s="74">
        <v>0.1</v>
      </c>
      <c r="E7" s="74">
        <v>0.7</v>
      </c>
      <c r="F7" s="74"/>
      <c r="G7" s="74">
        <v>3</v>
      </c>
      <c r="H7" s="74"/>
      <c r="I7" s="74"/>
      <c r="J7" s="75">
        <v>0</v>
      </c>
      <c r="K7" s="75">
        <v>76201</v>
      </c>
      <c r="L7" s="74">
        <v>0.9</v>
      </c>
      <c r="M7" s="75">
        <v>16088</v>
      </c>
      <c r="N7" s="75">
        <v>412279</v>
      </c>
      <c r="O7" s="76"/>
    </row>
    <row r="8" spans="1:15" ht="12.75">
      <c r="A8" s="77" t="s">
        <v>185</v>
      </c>
      <c r="B8" s="74">
        <v>133.6</v>
      </c>
      <c r="C8" s="74">
        <v>17.1</v>
      </c>
      <c r="D8" s="74">
        <v>3.9</v>
      </c>
      <c r="E8" s="74">
        <v>6.5</v>
      </c>
      <c r="F8" s="74">
        <v>8</v>
      </c>
      <c r="G8" s="76"/>
      <c r="H8" s="74">
        <v>1</v>
      </c>
      <c r="I8" s="74">
        <v>0.6</v>
      </c>
      <c r="J8" s="76"/>
      <c r="K8" s="76"/>
      <c r="L8" s="76"/>
      <c r="M8" s="76"/>
      <c r="N8" s="76"/>
      <c r="O8" s="76"/>
    </row>
    <row r="9" spans="1:15" ht="12.75">
      <c r="A9" s="77" t="s">
        <v>186</v>
      </c>
      <c r="B9" s="74">
        <v>53.5</v>
      </c>
      <c r="C9" s="74">
        <v>15.6</v>
      </c>
      <c r="D9" s="74">
        <v>6.7</v>
      </c>
      <c r="E9" s="74">
        <v>7.4</v>
      </c>
      <c r="F9" s="74">
        <v>4.4</v>
      </c>
      <c r="G9" s="76"/>
      <c r="H9" s="74">
        <v>1</v>
      </c>
      <c r="I9" s="74">
        <v>0.9</v>
      </c>
      <c r="J9" s="76"/>
      <c r="K9" s="76"/>
      <c r="L9" s="76"/>
      <c r="M9" s="76"/>
      <c r="N9" s="76"/>
      <c r="O9" s="76"/>
    </row>
    <row r="10" spans="1:15" ht="12.75">
      <c r="A10" s="77" t="s">
        <v>140</v>
      </c>
      <c r="B10" s="74">
        <v>36.2</v>
      </c>
      <c r="C10" s="74">
        <v>17.8</v>
      </c>
      <c r="D10" s="74">
        <v>6.8</v>
      </c>
      <c r="E10" s="74">
        <v>11.2</v>
      </c>
      <c r="F10" s="74">
        <v>3.8</v>
      </c>
      <c r="G10" s="76"/>
      <c r="H10" s="74">
        <v>1.3</v>
      </c>
      <c r="I10" s="74">
        <v>1.2</v>
      </c>
      <c r="J10" s="76"/>
      <c r="K10" s="76"/>
      <c r="L10" s="76"/>
      <c r="M10" s="76"/>
      <c r="N10" s="76"/>
      <c r="O10" s="76"/>
    </row>
    <row r="11" spans="1:12" ht="12.75">
      <c r="A11" s="78"/>
      <c r="F11" s="79"/>
      <c r="L11" s="80"/>
    </row>
    <row r="12" spans="1:12" ht="12.75">
      <c r="A12" s="78"/>
      <c r="D12" t="s">
        <v>187</v>
      </c>
      <c r="F12" s="79"/>
      <c r="L12" s="80"/>
    </row>
    <row r="13" spans="1:4" ht="12.75">
      <c r="A13" s="78" t="s">
        <v>189</v>
      </c>
      <c r="B13" t="s">
        <v>190</v>
      </c>
      <c r="C13" t="s">
        <v>191</v>
      </c>
      <c r="D13" t="s">
        <v>192</v>
      </c>
    </row>
    <row r="14" spans="1:5" ht="12.75">
      <c r="A14" t="s">
        <v>137</v>
      </c>
      <c r="B14" s="79">
        <f>SUM(B4:B7)</f>
        <v>73.80000000000001</v>
      </c>
      <c r="C14" s="79">
        <f>SUM(C4:C7)</f>
        <v>6.5</v>
      </c>
      <c r="D14" s="81">
        <f>C14/B14</f>
        <v>0.08807588075880757</v>
      </c>
      <c r="E14" s="82"/>
    </row>
    <row r="15" spans="1:5" ht="12.75">
      <c r="A15" t="s">
        <v>112</v>
      </c>
      <c r="B15" s="79">
        <f>SUM(B8:B9)</f>
        <v>187.1</v>
      </c>
      <c r="C15" s="79">
        <f>SUM(C8:C9)</f>
        <v>32.7</v>
      </c>
      <c r="D15" s="81">
        <f>C15/B15</f>
        <v>0.17477284874398719</v>
      </c>
      <c r="E15" s="82"/>
    </row>
    <row r="16" spans="1:5" ht="12.75">
      <c r="A16" t="s">
        <v>140</v>
      </c>
      <c r="B16" s="79">
        <f>SUM(B10)</f>
        <v>36.2</v>
      </c>
      <c r="C16" s="79">
        <f>SUM(C10)</f>
        <v>17.8</v>
      </c>
      <c r="D16" s="81">
        <f>C16/B16</f>
        <v>0.4917127071823204</v>
      </c>
      <c r="E16" s="82"/>
    </row>
    <row r="17" spans="1:2" ht="12.75">
      <c r="A17" s="78"/>
      <c r="B17" s="79"/>
    </row>
    <row r="18" spans="1:4" ht="12.75">
      <c r="A18" s="78"/>
      <c r="B18" s="79"/>
      <c r="D18" t="s">
        <v>297</v>
      </c>
    </row>
    <row r="19" spans="1:5" ht="12.75">
      <c r="A19" t="s">
        <v>193</v>
      </c>
      <c r="B19" s="79"/>
      <c r="C19" s="79"/>
      <c r="D19" s="82">
        <v>0.59</v>
      </c>
      <c r="E19" s="82">
        <v>0.59</v>
      </c>
    </row>
    <row r="20" spans="1:13" ht="12.75">
      <c r="A20" s="83" t="s">
        <v>194</v>
      </c>
      <c r="B20" s="79"/>
      <c r="C20" s="79"/>
      <c r="D20" s="82">
        <v>0.59</v>
      </c>
      <c r="E20" s="82">
        <v>0.59</v>
      </c>
      <c r="M20" s="8"/>
    </row>
    <row r="21" spans="1:5" ht="12.75">
      <c r="A21" s="83" t="s">
        <v>195</v>
      </c>
      <c r="B21" s="79"/>
      <c r="C21" s="79"/>
      <c r="D21" s="82">
        <v>0.81</v>
      </c>
      <c r="E21" s="82">
        <v>0.81</v>
      </c>
    </row>
    <row r="22" spans="1:5" ht="12.75">
      <c r="A22" t="s">
        <v>196</v>
      </c>
      <c r="D22" s="82">
        <v>0.81</v>
      </c>
      <c r="E22" s="82">
        <v>0.81</v>
      </c>
    </row>
    <row r="23" spans="1:5" ht="12.75">
      <c r="A23" t="s">
        <v>197</v>
      </c>
      <c r="B23" s="79"/>
      <c r="C23" s="79"/>
      <c r="D23" s="82">
        <v>0.81</v>
      </c>
      <c r="E23" s="82">
        <v>0.81</v>
      </c>
    </row>
    <row r="24" spans="1:5" ht="12.75">
      <c r="A24" t="s">
        <v>159</v>
      </c>
      <c r="B24" s="79"/>
      <c r="C24" s="79"/>
      <c r="D24" s="82">
        <v>0.81</v>
      </c>
      <c r="E24" s="82">
        <v>0.81</v>
      </c>
    </row>
    <row r="25" ht="12.75">
      <c r="B25" s="79"/>
    </row>
    <row r="26" ht="12.75">
      <c r="B26" s="79"/>
    </row>
    <row r="27" spans="1:2" ht="12.75">
      <c r="A27" s="78"/>
      <c r="B27" s="79"/>
    </row>
    <row r="28" spans="1:2" ht="12.75">
      <c r="A28" s="78"/>
      <c r="B28" s="79"/>
    </row>
    <row r="29" spans="1:2" ht="12.75">
      <c r="A29" s="78"/>
      <c r="B29" s="79"/>
    </row>
    <row r="30" spans="1:2" ht="12.75">
      <c r="A30" s="78"/>
      <c r="B30" s="79"/>
    </row>
    <row r="31" spans="1:2" ht="12.75">
      <c r="A31" s="78"/>
      <c r="B31" s="79"/>
    </row>
    <row r="33" ht="12.75">
      <c r="A33" s="78"/>
    </row>
    <row r="34" spans="1:2" ht="12.75">
      <c r="A34" s="78"/>
      <c r="B34" s="79"/>
    </row>
    <row r="35" ht="12.75">
      <c r="B35" s="79"/>
    </row>
    <row r="36" ht="12.75">
      <c r="B36" s="79"/>
    </row>
    <row r="37" spans="1:2" ht="12.75">
      <c r="A37" s="78"/>
      <c r="B37" s="79"/>
    </row>
    <row r="38" spans="1:2" ht="12.75">
      <c r="A38" s="78"/>
      <c r="B38" s="79"/>
    </row>
    <row r="39" spans="1:2" ht="12.75">
      <c r="A39" s="78"/>
      <c r="B39" s="79"/>
    </row>
    <row r="40" spans="1:2" ht="12.75">
      <c r="A40" s="78"/>
      <c r="B40" s="79"/>
    </row>
    <row r="41" spans="1:2" ht="12.75">
      <c r="A41" s="78"/>
      <c r="B41" s="79"/>
    </row>
    <row r="43" ht="12.75">
      <c r="A43" s="84"/>
    </row>
    <row r="44" spans="1:2" ht="12.75">
      <c r="A44" s="78"/>
      <c r="B44" s="79"/>
    </row>
    <row r="45" spans="1:2" ht="12.75">
      <c r="A45" s="78"/>
      <c r="B45" s="79"/>
    </row>
    <row r="46" spans="1:2" ht="12.75">
      <c r="A46" s="78"/>
      <c r="B46" s="79"/>
    </row>
    <row r="47" spans="1:2" ht="12.75">
      <c r="A47" s="78"/>
      <c r="B47" s="79"/>
    </row>
    <row r="49" ht="12.75">
      <c r="A49" s="78"/>
    </row>
    <row r="50" spans="1:2" ht="12.75">
      <c r="A50" s="78"/>
      <c r="B50" s="79"/>
    </row>
    <row r="51" ht="12.75">
      <c r="B51" s="79"/>
    </row>
    <row r="52" ht="12.75">
      <c r="B52" s="79"/>
    </row>
    <row r="53" spans="1:2" ht="12.75">
      <c r="A53" s="78"/>
      <c r="B53" s="79"/>
    </row>
    <row r="54" spans="1:2" ht="12.75">
      <c r="A54" s="78"/>
      <c r="B54" s="79"/>
    </row>
    <row r="55" ht="12.75">
      <c r="A55" s="78"/>
    </row>
    <row r="56" ht="12.75">
      <c r="A56" s="78"/>
    </row>
    <row r="57" spans="1:2" ht="12.75">
      <c r="A57" s="78"/>
      <c r="B57" s="79"/>
    </row>
    <row r="58" spans="1:2" ht="12.75">
      <c r="A58" s="78"/>
      <c r="B58" s="79"/>
    </row>
    <row r="59" spans="1:2" ht="12.75">
      <c r="A59" s="78"/>
      <c r="B59" s="79"/>
    </row>
    <row r="60" spans="1:2" ht="12.75">
      <c r="A60" s="78"/>
      <c r="B60" s="79"/>
    </row>
    <row r="62" ht="12.75">
      <c r="A62" s="78"/>
    </row>
    <row r="63" spans="1:2" ht="12.75">
      <c r="A63" s="78"/>
      <c r="B63" s="79"/>
    </row>
    <row r="64" spans="1:2" ht="12.75">
      <c r="A64" s="78"/>
      <c r="B64" s="79"/>
    </row>
    <row r="65" spans="1:2" ht="12.75">
      <c r="A65" s="78"/>
      <c r="B65" s="79"/>
    </row>
    <row r="66" spans="1:2" ht="12.75">
      <c r="A66" s="78"/>
      <c r="B66" s="79"/>
    </row>
    <row r="68" spans="1:2" ht="12.75">
      <c r="A68" s="78"/>
      <c r="B68" s="63"/>
    </row>
    <row r="69" spans="1:2" ht="12.75">
      <c r="A69" s="78"/>
      <c r="B69" s="85"/>
    </row>
    <row r="70" ht="12.75">
      <c r="B70" s="85"/>
    </row>
    <row r="71" ht="12.75">
      <c r="B71" s="85"/>
    </row>
    <row r="72" spans="1:2" ht="12.75">
      <c r="A72" s="78"/>
      <c r="B72" s="85"/>
    </row>
    <row r="73" spans="1:2" ht="12.75">
      <c r="A73" s="78"/>
      <c r="B73" s="85"/>
    </row>
    <row r="75" spans="1:2" ht="12.75">
      <c r="A75" s="78"/>
      <c r="B75" s="63"/>
    </row>
    <row r="76" spans="1:2" ht="12.75">
      <c r="A76" s="78"/>
      <c r="B76" s="85"/>
    </row>
    <row r="77" ht="12.75">
      <c r="B77" s="85"/>
    </row>
    <row r="78" ht="12.75">
      <c r="B78" s="85"/>
    </row>
    <row r="79" spans="1:2" ht="12.75">
      <c r="A79" s="78"/>
      <c r="B79" s="85"/>
    </row>
    <row r="80" spans="1:2" ht="12.75">
      <c r="A80" s="78"/>
      <c r="B80" s="85"/>
    </row>
    <row r="82" spans="1:2" ht="12.75">
      <c r="A82" s="78"/>
      <c r="B82" s="63"/>
    </row>
    <row r="83" spans="1:2" ht="12.75">
      <c r="A83" s="78"/>
      <c r="B83" s="79"/>
    </row>
    <row r="84" ht="12.75">
      <c r="B84" s="79"/>
    </row>
    <row r="85" ht="12.75">
      <c r="B85" s="79"/>
    </row>
    <row r="86" spans="1:2" ht="12.75">
      <c r="A86" s="78"/>
      <c r="B86" s="79"/>
    </row>
    <row r="87" spans="1:2" ht="12.75">
      <c r="A87" s="78"/>
      <c r="B87" s="79"/>
    </row>
    <row r="89" spans="1:2" ht="12.75">
      <c r="A89" s="78"/>
      <c r="B89" s="63"/>
    </row>
    <row r="90" spans="1:2" ht="12.75">
      <c r="A90" s="78"/>
      <c r="B90" s="85"/>
    </row>
    <row r="91" ht="12.75">
      <c r="B91" s="85"/>
    </row>
    <row r="92" ht="12.75">
      <c r="B92" s="85"/>
    </row>
    <row r="93" spans="1:2" ht="12.75">
      <c r="A93" s="78"/>
      <c r="B93" s="85"/>
    </row>
    <row r="94" spans="1:2" ht="12.75">
      <c r="A94" s="78"/>
      <c r="B94" s="85"/>
    </row>
    <row r="96" spans="1:2" ht="12.75">
      <c r="A96" s="78"/>
      <c r="B96" s="63"/>
    </row>
    <row r="97" spans="1:2" ht="12.75">
      <c r="A97" s="78"/>
      <c r="B97" s="85"/>
    </row>
    <row r="98" ht="12.75">
      <c r="B98" s="85"/>
    </row>
    <row r="99" ht="12.75">
      <c r="B99" s="85"/>
    </row>
    <row r="100" spans="1:2" ht="12.75">
      <c r="A100" s="78"/>
      <c r="B100" s="85"/>
    </row>
    <row r="101" spans="1:2" ht="12.75">
      <c r="A101" s="78"/>
      <c r="B101" s="85"/>
    </row>
    <row r="103" ht="12.75">
      <c r="B103" s="86"/>
    </row>
  </sheetData>
  <sheetProtection/>
  <mergeCells count="1">
    <mergeCell ref="B1:O1"/>
  </mergeCells>
  <printOptions/>
  <pageMargins left="0.75" right="0.75" top="1" bottom="1" header="0.5" footer="0.5"/>
  <pageSetup fitToHeight="1" fitToWidth="1" horizontalDpi="300" verticalDpi="300" orientation="landscape" scale="93" r:id="rId1"/>
</worksheet>
</file>

<file path=xl/worksheets/sheet18.xml><?xml version="1.0" encoding="utf-8"?>
<worksheet xmlns="http://schemas.openxmlformats.org/spreadsheetml/2006/main" xmlns:r="http://schemas.openxmlformats.org/officeDocument/2006/relationships">
  <sheetPr codeName="Sheet16"/>
  <dimension ref="A1:Q32"/>
  <sheetViews>
    <sheetView zoomScalePageLayoutView="0" workbookViewId="0" topLeftCell="A1">
      <selection activeCell="B4" sqref="B4"/>
    </sheetView>
  </sheetViews>
  <sheetFormatPr defaultColWidth="9.140625" defaultRowHeight="12.75"/>
  <cols>
    <col min="1" max="1" width="14.00390625" style="0" customWidth="1"/>
    <col min="2" max="2" width="11.57421875" style="0" customWidth="1"/>
    <col min="3" max="3" width="12.8515625" style="0" bestFit="1" customWidth="1"/>
    <col min="4" max="4" width="17.140625" style="0" customWidth="1"/>
    <col min="5" max="5" width="20.140625" style="0" hidden="1" customWidth="1"/>
    <col min="6" max="8" width="0" style="0" hidden="1" customWidth="1"/>
    <col min="9" max="9" width="9.140625" style="87" customWidth="1"/>
    <col min="12" max="12" width="10.421875" style="0" customWidth="1"/>
    <col min="13" max="13" width="11.140625" style="0" customWidth="1"/>
    <col min="14" max="14" width="12.421875" style="0" hidden="1" customWidth="1"/>
    <col min="15" max="17" width="0" style="0" hidden="1" customWidth="1"/>
  </cols>
  <sheetData>
    <row r="1" spans="1:5" ht="12.75">
      <c r="A1" t="s">
        <v>114</v>
      </c>
      <c r="E1" t="s">
        <v>198</v>
      </c>
    </row>
    <row r="2" spans="2:17" ht="12.75">
      <c r="B2" s="412" t="s">
        <v>187</v>
      </c>
      <c r="C2" s="412"/>
      <c r="D2" s="412"/>
      <c r="E2" s="88"/>
      <c r="F2" s="412" t="s">
        <v>199</v>
      </c>
      <c r="G2" s="412"/>
      <c r="H2" s="412"/>
      <c r="J2" t="s">
        <v>114</v>
      </c>
      <c r="K2" s="412" t="s">
        <v>187</v>
      </c>
      <c r="L2" s="412"/>
      <c r="M2" s="412"/>
      <c r="N2" s="59" t="s">
        <v>200</v>
      </c>
      <c r="O2" s="412" t="s">
        <v>199</v>
      </c>
      <c r="P2" s="412"/>
      <c r="Q2" s="412"/>
    </row>
    <row r="3" spans="2:17" ht="12.75">
      <c r="B3" s="59" t="s">
        <v>201</v>
      </c>
      <c r="C3" s="59" t="s">
        <v>202</v>
      </c>
      <c r="D3" s="59" t="s">
        <v>203</v>
      </c>
      <c r="E3" s="89"/>
      <c r="F3" s="59" t="s">
        <v>201</v>
      </c>
      <c r="G3" s="59" t="s">
        <v>202</v>
      </c>
      <c r="H3" s="59" t="s">
        <v>203</v>
      </c>
      <c r="K3" s="59" t="s">
        <v>201</v>
      </c>
      <c r="L3" s="59" t="s">
        <v>202</v>
      </c>
      <c r="M3" s="59" t="s">
        <v>203</v>
      </c>
      <c r="N3" s="59"/>
      <c r="O3" s="59" t="s">
        <v>201</v>
      </c>
      <c r="P3" s="59" t="s">
        <v>202</v>
      </c>
      <c r="Q3" s="59" t="s">
        <v>203</v>
      </c>
    </row>
    <row r="4" spans="1:17" ht="12.75">
      <c r="A4" t="s">
        <v>204</v>
      </c>
      <c r="B4" s="90">
        <f>new_case_fatality!G4</f>
        <v>238149</v>
      </c>
      <c r="C4" s="90">
        <f>new_case_fatality!F4</f>
        <v>397033</v>
      </c>
      <c r="D4" s="90">
        <f>new_case_fatality!H4</f>
        <v>744045</v>
      </c>
      <c r="E4" s="91">
        <v>20600000</v>
      </c>
      <c r="F4">
        <f aca="true" t="shared" si="0" ref="F4:H9">100000*B4/$E4</f>
        <v>1156.0631067961165</v>
      </c>
      <c r="G4">
        <f t="shared" si="0"/>
        <v>1927.3446601941748</v>
      </c>
      <c r="H4">
        <f t="shared" si="0"/>
        <v>3611.868932038835</v>
      </c>
      <c r="J4" t="s">
        <v>137</v>
      </c>
      <c r="K4" s="92">
        <f>SUM(B4:B5)</f>
        <v>947848.25</v>
      </c>
      <c r="L4" s="92">
        <f>SUM(C4:C5)</f>
        <v>1580217.6</v>
      </c>
      <c r="M4" s="92">
        <f>SUM(D4:D5)</f>
        <v>2961349.0500000003</v>
      </c>
      <c r="N4" s="92">
        <f>SUM(E4:E5)</f>
        <v>73800000</v>
      </c>
      <c r="O4">
        <f aca="true" t="shared" si="1" ref="O4:Q6">K4*100000/$N4</f>
        <v>1284.3472222222222</v>
      </c>
      <c r="P4">
        <f t="shared" si="1"/>
        <v>2141.2162601626014</v>
      </c>
      <c r="Q4">
        <f t="shared" si="1"/>
        <v>4012.6680894308943</v>
      </c>
    </row>
    <row r="5" spans="1:17" ht="12.75">
      <c r="A5" t="s">
        <v>205</v>
      </c>
      <c r="B5" s="90">
        <f>(13/20)*new_case_fatality!G5</f>
        <v>709699.25</v>
      </c>
      <c r="C5" s="90">
        <f>(13/20)*new_case_fatality!F5</f>
        <v>1183184.6</v>
      </c>
      <c r="D5" s="90">
        <f>(13/20)*new_case_fatality!H5</f>
        <v>2217304.0500000003</v>
      </c>
      <c r="E5" s="91">
        <v>53200000</v>
      </c>
      <c r="F5">
        <f t="shared" si="0"/>
        <v>1334.0211466165413</v>
      </c>
      <c r="G5">
        <f t="shared" si="0"/>
        <v>2224.0312030075193</v>
      </c>
      <c r="H5">
        <f t="shared" si="0"/>
        <v>4167.864755639098</v>
      </c>
      <c r="J5" t="s">
        <v>139</v>
      </c>
      <c r="K5" s="92">
        <f>SUM(B6:B8)</f>
        <v>857899.75</v>
      </c>
      <c r="L5" s="92">
        <f>SUM(C6:C8)</f>
        <v>1430258.4</v>
      </c>
      <c r="M5" s="92">
        <f>SUM(D6:D8)</f>
        <v>2680322.95</v>
      </c>
      <c r="N5" s="92">
        <f>SUM(E6:E8)</f>
        <v>187100000</v>
      </c>
      <c r="O5">
        <f t="shared" si="1"/>
        <v>458.52471940138963</v>
      </c>
      <c r="P5">
        <f t="shared" si="1"/>
        <v>764.4352752538749</v>
      </c>
      <c r="Q5">
        <f t="shared" si="1"/>
        <v>1432.561704970604</v>
      </c>
    </row>
    <row r="6" spans="1:17" ht="12.75">
      <c r="A6" t="s">
        <v>206</v>
      </c>
      <c r="B6" s="90">
        <f>(7/20)*new_case_fatality!G5</f>
        <v>382145.75</v>
      </c>
      <c r="C6" s="90">
        <f>(7/20)*new_case_fatality!F5</f>
        <v>637099.3999999999</v>
      </c>
      <c r="D6" s="90">
        <f>(7/20)*new_case_fatality!H5</f>
        <v>1193932.95</v>
      </c>
      <c r="E6" s="91">
        <v>29225000</v>
      </c>
      <c r="F6">
        <f t="shared" si="0"/>
        <v>1307.5988023952095</v>
      </c>
      <c r="G6">
        <f t="shared" si="0"/>
        <v>2179.980838323353</v>
      </c>
      <c r="H6">
        <f t="shared" si="0"/>
        <v>4085.3137724550897</v>
      </c>
      <c r="J6" t="s">
        <v>140</v>
      </c>
      <c r="K6" s="92">
        <f>B9</f>
        <v>25368</v>
      </c>
      <c r="L6" s="92">
        <f>C9</f>
        <v>42292</v>
      </c>
      <c r="M6" s="92">
        <f>D9</f>
        <v>79256</v>
      </c>
      <c r="N6" s="92">
        <f>E9</f>
        <v>36200000</v>
      </c>
      <c r="O6">
        <f t="shared" si="1"/>
        <v>70.07734806629834</v>
      </c>
      <c r="P6">
        <f t="shared" si="1"/>
        <v>116.82872928176796</v>
      </c>
      <c r="Q6">
        <f t="shared" si="1"/>
        <v>218.939226519337</v>
      </c>
    </row>
    <row r="7" spans="1:8" ht="12.75">
      <c r="A7" t="s">
        <v>207</v>
      </c>
      <c r="B7" s="90">
        <f>new_case_fatality!G6</f>
        <v>367608</v>
      </c>
      <c r="C7" s="90">
        <f>new_case_fatality!F6</f>
        <v>612862</v>
      </c>
      <c r="D7" s="90">
        <f>new_case_fatality!H6</f>
        <v>1148511</v>
      </c>
      <c r="E7" s="91">
        <v>104375000</v>
      </c>
      <c r="F7">
        <f t="shared" si="0"/>
        <v>352.19928143712576</v>
      </c>
      <c r="G7">
        <f t="shared" si="0"/>
        <v>587.1731736526946</v>
      </c>
      <c r="H7">
        <f t="shared" si="0"/>
        <v>1100.3698203592814</v>
      </c>
    </row>
    <row r="8" spans="1:8" ht="12.75">
      <c r="A8" t="s">
        <v>296</v>
      </c>
      <c r="B8" s="90">
        <f>new_case_fatality!G7</f>
        <v>108146</v>
      </c>
      <c r="C8" s="90">
        <f>new_case_fatality!F7</f>
        <v>180297</v>
      </c>
      <c r="D8" s="90">
        <f>new_case_fatality!H7</f>
        <v>337879</v>
      </c>
      <c r="E8" s="91">
        <v>53500000</v>
      </c>
      <c r="F8">
        <f t="shared" si="0"/>
        <v>202.14205607476634</v>
      </c>
      <c r="G8">
        <f t="shared" si="0"/>
        <v>337.003738317757</v>
      </c>
      <c r="H8">
        <f t="shared" si="0"/>
        <v>631.5495327102803</v>
      </c>
    </row>
    <row r="9" spans="1:8" ht="12.75">
      <c r="A9" t="s">
        <v>159</v>
      </c>
      <c r="B9" s="90">
        <f>new_case_fatality!G8</f>
        <v>25368</v>
      </c>
      <c r="C9" s="90">
        <f>new_case_fatality!F8</f>
        <v>42292</v>
      </c>
      <c r="D9" s="90">
        <f>new_case_fatality!H8</f>
        <v>79256</v>
      </c>
      <c r="E9" s="91">
        <v>36200000</v>
      </c>
      <c r="F9">
        <f t="shared" si="0"/>
        <v>70.07734806629834</v>
      </c>
      <c r="G9">
        <f t="shared" si="0"/>
        <v>116.82872928176796</v>
      </c>
      <c r="H9">
        <f t="shared" si="0"/>
        <v>218.939226519337</v>
      </c>
    </row>
    <row r="10" spans="2:5" ht="12.75">
      <c r="B10" s="90"/>
      <c r="C10" s="90">
        <f>SUM(C4:C9)</f>
        <v>3052768</v>
      </c>
      <c r="D10" s="90"/>
      <c r="E10" s="90"/>
    </row>
    <row r="11" spans="2:5" ht="12.75">
      <c r="B11" s="90"/>
      <c r="C11" s="90"/>
      <c r="D11" s="90"/>
      <c r="E11" s="90"/>
    </row>
    <row r="12" spans="1:5" ht="12.75">
      <c r="A12" t="s">
        <v>208</v>
      </c>
      <c r="E12" t="s">
        <v>198</v>
      </c>
    </row>
    <row r="13" spans="2:17" ht="12.75">
      <c r="B13" s="412" t="s">
        <v>187</v>
      </c>
      <c r="C13" s="412"/>
      <c r="D13" s="412"/>
      <c r="E13" s="88"/>
      <c r="F13" s="412" t="s">
        <v>199</v>
      </c>
      <c r="G13" s="412"/>
      <c r="H13" s="412"/>
      <c r="J13" t="s">
        <v>114</v>
      </c>
      <c r="K13" s="412" t="s">
        <v>209</v>
      </c>
      <c r="L13" s="412"/>
      <c r="M13" s="412"/>
      <c r="N13" s="59" t="s">
        <v>200</v>
      </c>
      <c r="O13" s="412" t="s">
        <v>199</v>
      </c>
      <c r="P13" s="412"/>
      <c r="Q13" s="412"/>
    </row>
    <row r="14" spans="2:17" ht="12.75">
      <c r="B14" s="59" t="s">
        <v>201</v>
      </c>
      <c r="C14" s="59" t="s">
        <v>202</v>
      </c>
      <c r="D14" s="59" t="s">
        <v>203</v>
      </c>
      <c r="E14" s="91"/>
      <c r="F14" s="59" t="s">
        <v>201</v>
      </c>
      <c r="G14" s="59" t="s">
        <v>202</v>
      </c>
      <c r="H14" s="59" t="s">
        <v>203</v>
      </c>
      <c r="K14" s="59" t="s">
        <v>201</v>
      </c>
      <c r="L14" s="59" t="s">
        <v>202</v>
      </c>
      <c r="M14" s="59" t="s">
        <v>203</v>
      </c>
      <c r="N14" s="59"/>
      <c r="O14" s="59" t="s">
        <v>201</v>
      </c>
      <c r="P14" s="59" t="s">
        <v>202</v>
      </c>
      <c r="Q14" s="59" t="s">
        <v>203</v>
      </c>
    </row>
    <row r="15" spans="1:17" ht="12.75">
      <c r="A15" t="s">
        <v>204</v>
      </c>
      <c r="B15" s="90">
        <f>B4*Sheet1!$D14</f>
        <v>20975.182926829264</v>
      </c>
      <c r="C15" s="90">
        <f>C4*Sheet1!$D14</f>
        <v>34969.031165311644</v>
      </c>
      <c r="D15" s="90">
        <f>D4*Sheet1!$D14</f>
        <v>65532.41869918698</v>
      </c>
      <c r="E15" s="91">
        <v>20600000</v>
      </c>
      <c r="F15">
        <f aca="true" t="shared" si="2" ref="F15:H20">100000*B15/$E15</f>
        <v>101.82127634383139</v>
      </c>
      <c r="G15">
        <f t="shared" si="2"/>
        <v>169.75257847238663</v>
      </c>
      <c r="H15">
        <f t="shared" si="2"/>
        <v>318.1185373746941</v>
      </c>
      <c r="J15" t="s">
        <v>137</v>
      </c>
      <c r="K15" s="92">
        <f>SUM(B15:B16)</f>
        <v>83482.56944444442</v>
      </c>
      <c r="L15" s="92">
        <f>SUM(C15:C16)</f>
        <v>139179.05691056908</v>
      </c>
      <c r="M15" s="92">
        <f>SUM(D15:D16)</f>
        <v>260823.4258130081</v>
      </c>
      <c r="N15" s="92">
        <f>SUM(E15:E16)</f>
        <v>73800000</v>
      </c>
      <c r="O15">
        <f aca="true" t="shared" si="3" ref="O15:Q17">K15*100000/$N15</f>
        <v>113.12001279735017</v>
      </c>
      <c r="P15">
        <f t="shared" si="3"/>
        <v>188.5895080089012</v>
      </c>
      <c r="Q15">
        <f t="shared" si="3"/>
        <v>353.4192761693877</v>
      </c>
    </row>
    <row r="16" spans="1:17" ht="12.75">
      <c r="A16" t="s">
        <v>205</v>
      </c>
      <c r="B16" s="90">
        <f>B5*Sheet1!$D14</f>
        <v>62507.38651761516</v>
      </c>
      <c r="C16" s="90">
        <f>C5*Sheet1!$D14</f>
        <v>104210.02574525743</v>
      </c>
      <c r="D16" s="90">
        <f>D5*Sheet1!$D14</f>
        <v>195291.0071138211</v>
      </c>
      <c r="E16" s="91">
        <v>53200000</v>
      </c>
      <c r="F16">
        <f t="shared" si="2"/>
        <v>117.49508743912624</v>
      </c>
      <c r="G16">
        <f t="shared" si="2"/>
        <v>195.88350703995758</v>
      </c>
      <c r="H16">
        <f t="shared" si="2"/>
        <v>367.0883592365058</v>
      </c>
      <c r="J16" t="s">
        <v>139</v>
      </c>
      <c r="K16" s="92">
        <f>SUM(B17:B19)</f>
        <v>149937.5832442544</v>
      </c>
      <c r="L16" s="92">
        <f>SUM(C17:C19)</f>
        <v>249970.3350080171</v>
      </c>
      <c r="M16" s="92">
        <f>SUM(D17:D19)</f>
        <v>468447.6775253875</v>
      </c>
      <c r="N16" s="92">
        <f>SUM(E17:E19)</f>
        <v>187100000</v>
      </c>
      <c r="O16">
        <f t="shared" si="3"/>
        <v>80.13767142931823</v>
      </c>
      <c r="P16">
        <f t="shared" si="3"/>
        <v>133.6025307365137</v>
      </c>
      <c r="Q16">
        <f t="shared" si="3"/>
        <v>250.37289017925573</v>
      </c>
    </row>
    <row r="17" spans="1:17" ht="12.75">
      <c r="A17" t="s">
        <v>206</v>
      </c>
      <c r="B17" s="90">
        <f>B6*Sheet1!$D15</f>
        <v>66788.70136290754</v>
      </c>
      <c r="C17" s="90">
        <f>C6*Sheet1!$D15</f>
        <v>111347.67707108497</v>
      </c>
      <c r="D17" s="90">
        <f>D6*Sheet1!$D15</f>
        <v>208667.06288081242</v>
      </c>
      <c r="E17" s="91">
        <v>29225000</v>
      </c>
      <c r="F17">
        <f t="shared" si="2"/>
        <v>228.53276770883673</v>
      </c>
      <c r="G17">
        <f t="shared" si="2"/>
        <v>381.0014613210778</v>
      </c>
      <c r="H17">
        <f t="shared" si="2"/>
        <v>714.0019260250211</v>
      </c>
      <c r="J17" t="s">
        <v>140</v>
      </c>
      <c r="K17" s="92">
        <f>B20</f>
        <v>12473.767955801104</v>
      </c>
      <c r="L17" s="92">
        <f>C20</f>
        <v>20795.513812154695</v>
      </c>
      <c r="M17" s="92">
        <f>D20</f>
        <v>38971.182320441985</v>
      </c>
      <c r="N17" s="92">
        <f>E20</f>
        <v>36200000</v>
      </c>
      <c r="O17">
        <f t="shared" si="3"/>
        <v>34.457922529837305</v>
      </c>
      <c r="P17">
        <f t="shared" si="3"/>
        <v>57.44617075180855</v>
      </c>
      <c r="Q17">
        <f t="shared" si="3"/>
        <v>107.65519978022648</v>
      </c>
    </row>
    <row r="18" spans="1:8" ht="12.75">
      <c r="A18" t="s">
        <v>207</v>
      </c>
      <c r="B18" s="90">
        <f>B7*Sheet1!$D15</f>
        <v>64247.89738107964</v>
      </c>
      <c r="C18" s="90">
        <f>C7*Sheet1!$D15</f>
        <v>107111.63762693747</v>
      </c>
      <c r="D18" s="90">
        <f>D7*Sheet1!$D15</f>
        <v>200728.53928380547</v>
      </c>
      <c r="E18" s="91">
        <v>104375000</v>
      </c>
      <c r="F18">
        <f t="shared" si="2"/>
        <v>61.55487174235175</v>
      </c>
      <c r="G18">
        <f t="shared" si="2"/>
        <v>102.6219282653293</v>
      </c>
      <c r="H18">
        <f t="shared" si="2"/>
        <v>192.31476817610104</v>
      </c>
    </row>
    <row r="19" spans="1:8" ht="12.75">
      <c r="A19" t="s">
        <v>296</v>
      </c>
      <c r="B19" s="90">
        <f>B8*Sheet1!$D15</f>
        <v>18900.984500267237</v>
      </c>
      <c r="C19" s="90">
        <f>C8*Sheet1!$D15</f>
        <v>31511.02030999466</v>
      </c>
      <c r="D19" s="90">
        <f>D8*Sheet1!$D15</f>
        <v>59052.075360769646</v>
      </c>
      <c r="E19" s="91">
        <v>53500000</v>
      </c>
      <c r="F19">
        <f t="shared" si="2"/>
        <v>35.32894299115371</v>
      </c>
      <c r="G19">
        <f t="shared" si="2"/>
        <v>58.899103383167585</v>
      </c>
      <c r="H19">
        <f t="shared" si="2"/>
        <v>110.37771095470961</v>
      </c>
    </row>
    <row r="20" spans="1:8" ht="12.75">
      <c r="A20" t="s">
        <v>159</v>
      </c>
      <c r="B20" s="90">
        <f>B9*Sheet1!$D16</f>
        <v>12473.767955801104</v>
      </c>
      <c r="C20" s="90">
        <f>C9*Sheet1!$D16</f>
        <v>20795.513812154695</v>
      </c>
      <c r="D20" s="90">
        <f>D9*Sheet1!$D16</f>
        <v>38971.182320441985</v>
      </c>
      <c r="E20" s="91">
        <v>36200000</v>
      </c>
      <c r="F20">
        <f t="shared" si="2"/>
        <v>34.457922529837305</v>
      </c>
      <c r="G20">
        <f t="shared" si="2"/>
        <v>57.44617075180855</v>
      </c>
      <c r="H20">
        <f t="shared" si="2"/>
        <v>107.65519978022648</v>
      </c>
    </row>
    <row r="21" spans="2:5" ht="12.75">
      <c r="B21" s="90"/>
      <c r="C21" s="90"/>
      <c r="D21" s="90"/>
      <c r="E21" s="90"/>
    </row>
    <row r="22" spans="2:5" ht="12.75">
      <c r="B22" s="90"/>
      <c r="C22" s="90"/>
      <c r="D22" s="90"/>
      <c r="E22" s="90"/>
    </row>
    <row r="23" ht="12.75">
      <c r="A23" t="s">
        <v>210</v>
      </c>
    </row>
    <row r="24" spans="2:17" ht="12.75">
      <c r="B24" s="412" t="s">
        <v>187</v>
      </c>
      <c r="C24" s="412"/>
      <c r="D24" s="412"/>
      <c r="E24" s="88"/>
      <c r="F24" s="412" t="s">
        <v>199</v>
      </c>
      <c r="G24" s="412"/>
      <c r="H24" s="412"/>
      <c r="J24" t="s">
        <v>114</v>
      </c>
      <c r="K24" s="412" t="s">
        <v>211</v>
      </c>
      <c r="L24" s="412"/>
      <c r="M24" s="412"/>
      <c r="N24" s="59" t="s">
        <v>200</v>
      </c>
      <c r="O24" s="412" t="s">
        <v>199</v>
      </c>
      <c r="P24" s="412"/>
      <c r="Q24" s="412"/>
    </row>
    <row r="25" spans="2:17" ht="12.75">
      <c r="B25" s="59" t="s">
        <v>201</v>
      </c>
      <c r="C25" s="59" t="s">
        <v>202</v>
      </c>
      <c r="D25" s="59" t="s">
        <v>203</v>
      </c>
      <c r="E25" s="91"/>
      <c r="F25" s="59" t="s">
        <v>201</v>
      </c>
      <c r="G25" s="59" t="s">
        <v>202</v>
      </c>
      <c r="H25" s="59" t="s">
        <v>203</v>
      </c>
      <c r="K25" s="59" t="s">
        <v>201</v>
      </c>
      <c r="L25" s="59" t="s">
        <v>202</v>
      </c>
      <c r="M25" s="59" t="s">
        <v>203</v>
      </c>
      <c r="N25" s="59"/>
      <c r="O25" s="59" t="s">
        <v>201</v>
      </c>
      <c r="P25" s="59" t="s">
        <v>202</v>
      </c>
      <c r="Q25" s="59" t="s">
        <v>203</v>
      </c>
    </row>
    <row r="26" spans="1:17" ht="12.75">
      <c r="A26" t="s">
        <v>204</v>
      </c>
      <c r="B26" s="90">
        <f aca="true" t="shared" si="4" ref="B26:D31">B4-B15</f>
        <v>217173.81707317074</v>
      </c>
      <c r="C26" s="90">
        <f t="shared" si="4"/>
        <v>362063.96883468836</v>
      </c>
      <c r="D26" s="90">
        <f t="shared" si="4"/>
        <v>678512.581300813</v>
      </c>
      <c r="E26" s="91">
        <v>20600000</v>
      </c>
      <c r="F26">
        <f aca="true" t="shared" si="5" ref="F26:H31">100000*B26/$E26</f>
        <v>1054.241830452285</v>
      </c>
      <c r="G26">
        <f t="shared" si="5"/>
        <v>1757.592081721788</v>
      </c>
      <c r="H26">
        <f t="shared" si="5"/>
        <v>3293.750394664141</v>
      </c>
      <c r="J26" t="s">
        <v>137</v>
      </c>
      <c r="K26" s="92">
        <f>SUM(B26:B27)</f>
        <v>864365.6805555555</v>
      </c>
      <c r="L26" s="92">
        <f>SUM(C26:C27)</f>
        <v>1441038.543089431</v>
      </c>
      <c r="M26" s="92">
        <f>SUM(D26:D27)</f>
        <v>2700525.624186992</v>
      </c>
      <c r="N26" s="92">
        <f>SUM(E26:E27)</f>
        <v>73800000</v>
      </c>
      <c r="O26">
        <f aca="true" t="shared" si="6" ref="O26:Q28">K26*100000/$N26</f>
        <v>1171.227209424872</v>
      </c>
      <c r="P26">
        <f t="shared" si="6"/>
        <v>1952.6267521537006</v>
      </c>
      <c r="Q26">
        <f t="shared" si="6"/>
        <v>3659.248813261507</v>
      </c>
    </row>
    <row r="27" spans="1:17" ht="12.75">
      <c r="A27" t="s">
        <v>205</v>
      </c>
      <c r="B27" s="90">
        <f t="shared" si="4"/>
        <v>647191.8634823848</v>
      </c>
      <c r="C27" s="90">
        <f t="shared" si="4"/>
        <v>1078974.5742547426</v>
      </c>
      <c r="D27" s="90">
        <f t="shared" si="4"/>
        <v>2022013.0428861792</v>
      </c>
      <c r="E27" s="91">
        <v>53200000</v>
      </c>
      <c r="F27">
        <f t="shared" si="5"/>
        <v>1216.526059177415</v>
      </c>
      <c r="G27">
        <f t="shared" si="5"/>
        <v>2028.1476959675613</v>
      </c>
      <c r="H27">
        <f t="shared" si="5"/>
        <v>3800.7763964025926</v>
      </c>
      <c r="J27" t="s">
        <v>139</v>
      </c>
      <c r="K27" s="92">
        <f>SUM(B28:B30)</f>
        <v>707962.1667557457</v>
      </c>
      <c r="L27" s="92">
        <f>SUM(C28:C30)</f>
        <v>1180288.064991983</v>
      </c>
      <c r="M27" s="92">
        <f>SUM(D28:D30)</f>
        <v>2211875.272474612</v>
      </c>
      <c r="N27" s="92">
        <f>SUM(E28:E30)</f>
        <v>187100000</v>
      </c>
      <c r="O27">
        <f t="shared" si="6"/>
        <v>378.38704797207146</v>
      </c>
      <c r="P27">
        <f t="shared" si="6"/>
        <v>630.8327445173612</v>
      </c>
      <c r="Q27">
        <f t="shared" si="6"/>
        <v>1182.188814791348</v>
      </c>
    </row>
    <row r="28" spans="1:17" ht="12.75">
      <c r="A28" t="s">
        <v>206</v>
      </c>
      <c r="B28" s="90">
        <f t="shared" si="4"/>
        <v>315357.04863709246</v>
      </c>
      <c r="C28" s="90">
        <f t="shared" si="4"/>
        <v>525751.7229289149</v>
      </c>
      <c r="D28" s="90">
        <f t="shared" si="4"/>
        <v>985265.8871191875</v>
      </c>
      <c r="E28" s="91">
        <v>29225000</v>
      </c>
      <c r="F28">
        <f t="shared" si="5"/>
        <v>1079.0660346863729</v>
      </c>
      <c r="G28">
        <f t="shared" si="5"/>
        <v>1798.9793770022752</v>
      </c>
      <c r="H28">
        <f t="shared" si="5"/>
        <v>3371.3118464300683</v>
      </c>
      <c r="J28" t="s">
        <v>140</v>
      </c>
      <c r="K28" s="92">
        <f>B31</f>
        <v>12894.232044198896</v>
      </c>
      <c r="L28" s="92">
        <f>C31</f>
        <v>21496.486187845305</v>
      </c>
      <c r="M28" s="92">
        <f>D31</f>
        <v>40284.817679558015</v>
      </c>
      <c r="N28" s="92">
        <f>E31</f>
        <v>36200000</v>
      </c>
      <c r="O28">
        <f t="shared" si="6"/>
        <v>35.619425536461044</v>
      </c>
      <c r="P28">
        <f t="shared" si="6"/>
        <v>59.38255852995941</v>
      </c>
      <c r="Q28">
        <f t="shared" si="6"/>
        <v>111.28402673911054</v>
      </c>
    </row>
    <row r="29" spans="1:8" ht="12.75">
      <c r="A29" t="s">
        <v>207</v>
      </c>
      <c r="B29" s="90">
        <f t="shared" si="4"/>
        <v>303360.1026189204</v>
      </c>
      <c r="C29" s="90">
        <f t="shared" si="4"/>
        <v>505750.3623730625</v>
      </c>
      <c r="D29" s="90">
        <f t="shared" si="4"/>
        <v>947782.4607161945</v>
      </c>
      <c r="E29" s="91">
        <v>104375000</v>
      </c>
      <c r="F29">
        <f t="shared" si="5"/>
        <v>290.644409694774</v>
      </c>
      <c r="G29">
        <f t="shared" si="5"/>
        <v>484.55124538736527</v>
      </c>
      <c r="H29">
        <f t="shared" si="5"/>
        <v>908.0550521831804</v>
      </c>
    </row>
    <row r="30" spans="1:8" ht="12.75">
      <c r="A30" t="s">
        <v>296</v>
      </c>
      <c r="B30" s="90">
        <f t="shared" si="4"/>
        <v>89245.01549973276</v>
      </c>
      <c r="C30" s="90">
        <f t="shared" si="4"/>
        <v>148785.97969000533</v>
      </c>
      <c r="D30" s="90">
        <f t="shared" si="4"/>
        <v>278826.92463923036</v>
      </c>
      <c r="E30" s="91">
        <v>53500000</v>
      </c>
      <c r="F30">
        <f t="shared" si="5"/>
        <v>166.81311308361265</v>
      </c>
      <c r="G30">
        <f t="shared" si="5"/>
        <v>278.1046349345894</v>
      </c>
      <c r="H30">
        <f t="shared" si="5"/>
        <v>521.1718217555707</v>
      </c>
    </row>
    <row r="31" spans="1:8" ht="12.75">
      <c r="A31" t="s">
        <v>159</v>
      </c>
      <c r="B31" s="90">
        <f t="shared" si="4"/>
        <v>12894.232044198896</v>
      </c>
      <c r="C31" s="90">
        <f t="shared" si="4"/>
        <v>21496.486187845305</v>
      </c>
      <c r="D31" s="90">
        <f t="shared" si="4"/>
        <v>40284.817679558015</v>
      </c>
      <c r="E31" s="91">
        <v>36200000</v>
      </c>
      <c r="F31">
        <f t="shared" si="5"/>
        <v>35.619425536461044</v>
      </c>
      <c r="G31">
        <f t="shared" si="5"/>
        <v>59.38255852995941</v>
      </c>
      <c r="H31">
        <f t="shared" si="5"/>
        <v>111.28402673911054</v>
      </c>
    </row>
    <row r="32" spans="2:5" ht="12.75">
      <c r="B32" s="90"/>
      <c r="C32" s="90"/>
      <c r="D32" s="90"/>
      <c r="E32" s="90"/>
    </row>
  </sheetData>
  <sheetProtection/>
  <mergeCells count="12">
    <mergeCell ref="B24:D24"/>
    <mergeCell ref="F24:H24"/>
    <mergeCell ref="K13:M13"/>
    <mergeCell ref="O13:Q13"/>
    <mergeCell ref="K24:M24"/>
    <mergeCell ref="O24:Q24"/>
    <mergeCell ref="B13:D13"/>
    <mergeCell ref="F13:H13"/>
    <mergeCell ref="B2:D2"/>
    <mergeCell ref="F2:H2"/>
    <mergeCell ref="K2:M2"/>
    <mergeCell ref="O2:Q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17"/>
  <dimension ref="A1:U33"/>
  <sheetViews>
    <sheetView zoomScalePageLayoutView="0" workbookViewId="0" topLeftCell="I4">
      <selection activeCell="W12" sqref="W12"/>
    </sheetView>
  </sheetViews>
  <sheetFormatPr defaultColWidth="9.140625" defaultRowHeight="12.75"/>
  <cols>
    <col min="1" max="1" width="14.00390625" style="0" customWidth="1"/>
    <col min="2" max="2" width="11.57421875" style="0" customWidth="1"/>
    <col min="3" max="3" width="12.8515625" style="0" bestFit="1" customWidth="1"/>
    <col min="4" max="4" width="17.140625" style="0" customWidth="1"/>
    <col min="5" max="5" width="20.140625" style="0" hidden="1" customWidth="1"/>
    <col min="6" max="8" width="0" style="0" hidden="1" customWidth="1"/>
    <col min="9" max="9" width="9.140625" style="87" customWidth="1"/>
    <col min="12" max="12" width="10.421875" style="0" customWidth="1"/>
    <col min="13" max="13" width="11.140625" style="0" customWidth="1"/>
    <col min="14" max="14" width="12.421875" style="0" hidden="1" customWidth="1"/>
    <col min="15" max="17" width="0" style="0" hidden="1" customWidth="1"/>
    <col min="18" max="18" width="9.140625" style="147" customWidth="1"/>
  </cols>
  <sheetData>
    <row r="1" spans="1:5" ht="12.75">
      <c r="A1" t="s">
        <v>114</v>
      </c>
      <c r="E1" t="s">
        <v>198</v>
      </c>
    </row>
    <row r="2" spans="2:21" ht="12.75">
      <c r="B2" s="412" t="s">
        <v>212</v>
      </c>
      <c r="C2" s="412"/>
      <c r="D2" s="412"/>
      <c r="E2" s="88"/>
      <c r="F2" s="412" t="s">
        <v>199</v>
      </c>
      <c r="G2" s="412"/>
      <c r="H2" s="412"/>
      <c r="J2" t="s">
        <v>114</v>
      </c>
      <c r="K2" s="412" t="s">
        <v>212</v>
      </c>
      <c r="L2" s="412"/>
      <c r="M2" s="412"/>
      <c r="N2" s="59" t="s">
        <v>200</v>
      </c>
      <c r="O2" s="412" t="s">
        <v>199</v>
      </c>
      <c r="P2" s="412"/>
      <c r="Q2" s="412"/>
      <c r="R2" s="148"/>
      <c r="S2" s="412" t="s">
        <v>213</v>
      </c>
      <c r="T2" s="412"/>
      <c r="U2" s="412"/>
    </row>
    <row r="3" spans="2:21" ht="12.75">
      <c r="B3" s="59" t="s">
        <v>201</v>
      </c>
      <c r="C3" s="59" t="s">
        <v>202</v>
      </c>
      <c r="D3" s="59" t="s">
        <v>203</v>
      </c>
      <c r="E3" s="89"/>
      <c r="F3" s="59" t="s">
        <v>201</v>
      </c>
      <c r="G3" s="59" t="s">
        <v>202</v>
      </c>
      <c r="H3" s="59" t="s">
        <v>203</v>
      </c>
      <c r="K3" s="59" t="s">
        <v>201</v>
      </c>
      <c r="L3" s="59" t="s">
        <v>202</v>
      </c>
      <c r="M3" s="59" t="s">
        <v>203</v>
      </c>
      <c r="N3" s="59"/>
      <c r="O3" s="59" t="s">
        <v>201</v>
      </c>
      <c r="P3" s="59" t="s">
        <v>202</v>
      </c>
      <c r="Q3" s="59" t="s">
        <v>203</v>
      </c>
      <c r="R3" s="148"/>
      <c r="S3" s="59" t="s">
        <v>201</v>
      </c>
      <c r="T3" s="59" t="s">
        <v>202</v>
      </c>
      <c r="U3" s="59" t="s">
        <v>203</v>
      </c>
    </row>
    <row r="4" spans="1:21" ht="12.75">
      <c r="A4" t="s">
        <v>204</v>
      </c>
      <c r="B4" s="90">
        <f>new_case_fatality!G11</f>
        <v>1866</v>
      </c>
      <c r="C4" s="90">
        <f>new_case_fatality!F11</f>
        <v>2768</v>
      </c>
      <c r="D4" s="90">
        <f>new_case_fatality!H11</f>
        <v>4285</v>
      </c>
      <c r="E4" s="91">
        <v>20600000</v>
      </c>
      <c r="F4">
        <f aca="true" t="shared" si="0" ref="F4:H9">100000*B4/$E4</f>
        <v>9.058252427184467</v>
      </c>
      <c r="G4">
        <f t="shared" si="0"/>
        <v>13.436893203883495</v>
      </c>
      <c r="H4">
        <f t="shared" si="0"/>
        <v>20.800970873786408</v>
      </c>
      <c r="J4" t="s">
        <v>137</v>
      </c>
      <c r="K4" s="92">
        <f>SUM(B4:B5)</f>
        <v>4052.6</v>
      </c>
      <c r="L4" s="92">
        <f>SUM(C4:C5)</f>
        <v>6012.15</v>
      </c>
      <c r="M4" s="92">
        <f>SUM(D4:D5)</f>
        <v>9306.25</v>
      </c>
      <c r="N4" s="92">
        <f>SUM(E4:E5)</f>
        <v>73800000</v>
      </c>
      <c r="O4">
        <f>K4*100000/$N4</f>
        <v>5.491327913279132</v>
      </c>
      <c r="P4">
        <f aca="true" t="shared" si="1" ref="P4:Q6">L4*100000/$N4</f>
        <v>8.146544715447154</v>
      </c>
      <c r="Q4">
        <f t="shared" si="1"/>
        <v>12.61009485094851</v>
      </c>
      <c r="S4" s="335">
        <f>M4/cases!$M4</f>
        <v>0.0031425711197401733</v>
      </c>
      <c r="T4" s="335">
        <f>L4/cases!$L4</f>
        <v>0.0038046342478402968</v>
      </c>
      <c r="U4" s="335">
        <f>K4/cases!$K4</f>
        <v>0.004275578923102933</v>
      </c>
    </row>
    <row r="5" spans="1:21" ht="12.75">
      <c r="A5" t="s">
        <v>205</v>
      </c>
      <c r="B5" s="90">
        <f>(13/20)*new_case_fatality!G12</f>
        <v>2186.6</v>
      </c>
      <c r="C5" s="90">
        <f>(13/20)*new_case_fatality!F12</f>
        <v>3244.15</v>
      </c>
      <c r="D5" s="90">
        <f>(13/20)*new_case_fatality!H12</f>
        <v>5021.25</v>
      </c>
      <c r="E5" s="91">
        <v>53200000</v>
      </c>
      <c r="F5">
        <f t="shared" si="0"/>
        <v>4.11015037593985</v>
      </c>
      <c r="G5">
        <f t="shared" si="0"/>
        <v>6.098026315789474</v>
      </c>
      <c r="H5">
        <f t="shared" si="0"/>
        <v>9.43843984962406</v>
      </c>
      <c r="J5" t="s">
        <v>139</v>
      </c>
      <c r="K5" s="92">
        <f>SUM(B6:B8)</f>
        <v>4785.4</v>
      </c>
      <c r="L5" s="92">
        <f>SUM(C6:C8)</f>
        <v>7098.85</v>
      </c>
      <c r="M5" s="92">
        <f>SUM(D6:D8)</f>
        <v>10986.75</v>
      </c>
      <c r="N5" s="92">
        <f>SUM(E6:E8)</f>
        <v>187100000</v>
      </c>
      <c r="O5">
        <f>K5*100000/$N5</f>
        <v>2.55766969535008</v>
      </c>
      <c r="P5">
        <f t="shared" si="1"/>
        <v>3.7941475146980226</v>
      </c>
      <c r="Q5">
        <f t="shared" si="1"/>
        <v>5.872127204703367</v>
      </c>
      <c r="S5" s="335">
        <f>M5/cases!$M5</f>
        <v>0.004099039632518909</v>
      </c>
      <c r="T5" s="335">
        <f>L5/cases!$L5</f>
        <v>0.004963333898266216</v>
      </c>
      <c r="U5" s="335">
        <f>K5/cases!$K5</f>
        <v>0.005578041024024077</v>
      </c>
    </row>
    <row r="6" spans="1:21" ht="12.75">
      <c r="A6" t="s">
        <v>206</v>
      </c>
      <c r="B6" s="90">
        <f>(7/20)*new_case_fatality!G12</f>
        <v>1177.3999999999999</v>
      </c>
      <c r="C6" s="90">
        <f>(7/20)*new_case_fatality!F12</f>
        <v>1746.85</v>
      </c>
      <c r="D6" s="90">
        <f>(7/20)*new_case_fatality!H12</f>
        <v>2703.75</v>
      </c>
      <c r="E6" s="91">
        <v>29225000</v>
      </c>
      <c r="F6">
        <f t="shared" si="0"/>
        <v>4.02874251497006</v>
      </c>
      <c r="G6">
        <f t="shared" si="0"/>
        <v>5.977245508982036</v>
      </c>
      <c r="H6">
        <f t="shared" si="0"/>
        <v>9.251497005988025</v>
      </c>
      <c r="J6" t="s">
        <v>140</v>
      </c>
      <c r="K6" s="92">
        <f>B9</f>
        <v>441</v>
      </c>
      <c r="L6" s="92">
        <f>C9</f>
        <v>654</v>
      </c>
      <c r="M6" s="92">
        <f>D9</f>
        <v>1012</v>
      </c>
      <c r="N6" s="92">
        <f>E9</f>
        <v>36200000</v>
      </c>
      <c r="O6">
        <f>K6*100000/$N6</f>
        <v>1.218232044198895</v>
      </c>
      <c r="P6">
        <f t="shared" si="1"/>
        <v>1.8066298342541436</v>
      </c>
      <c r="Q6">
        <f t="shared" si="1"/>
        <v>2.7955801104972378</v>
      </c>
      <c r="S6" s="335">
        <f>M6/cases!$M6</f>
        <v>0.012768749369132937</v>
      </c>
      <c r="T6" s="335">
        <f>L6/cases!$L6</f>
        <v>0.015463917525773196</v>
      </c>
      <c r="U6" s="335">
        <f>K6/cases!$K6</f>
        <v>0.0173841059602649</v>
      </c>
    </row>
    <row r="7" spans="1:8" ht="12.75">
      <c r="A7" t="s">
        <v>207</v>
      </c>
      <c r="B7" s="90">
        <f>new_case_fatality!G13</f>
        <v>2319</v>
      </c>
      <c r="C7" s="94">
        <f>new_case_fatality!F13</f>
        <v>3440</v>
      </c>
      <c r="D7" s="90">
        <f>new_case_fatality!H13</f>
        <v>5324</v>
      </c>
      <c r="E7" s="91">
        <v>104375000</v>
      </c>
      <c r="F7">
        <f t="shared" si="0"/>
        <v>2.2217964071856287</v>
      </c>
      <c r="G7">
        <f t="shared" si="0"/>
        <v>3.295808383233533</v>
      </c>
      <c r="H7">
        <f t="shared" si="0"/>
        <v>5.100838323353293</v>
      </c>
    </row>
    <row r="8" spans="1:8" ht="12.75">
      <c r="A8" t="s">
        <v>296</v>
      </c>
      <c r="B8" s="90">
        <f>new_case_fatality!G14</f>
        <v>1289</v>
      </c>
      <c r="C8" s="94">
        <f>new_case_fatality!F14</f>
        <v>1912</v>
      </c>
      <c r="D8" s="90">
        <f>new_case_fatality!H14</f>
        <v>2959</v>
      </c>
      <c r="E8" s="91">
        <v>53500000</v>
      </c>
      <c r="F8">
        <f t="shared" si="0"/>
        <v>2.4093457943925234</v>
      </c>
      <c r="G8">
        <f t="shared" si="0"/>
        <v>3.573831775700935</v>
      </c>
      <c r="H8">
        <f t="shared" si="0"/>
        <v>5.530841121495327</v>
      </c>
    </row>
    <row r="9" spans="1:8" ht="12.75">
      <c r="A9" t="s">
        <v>159</v>
      </c>
      <c r="B9" s="90">
        <f>new_case_fatality!G15</f>
        <v>441</v>
      </c>
      <c r="C9" s="94">
        <f>new_case_fatality!F15</f>
        <v>654</v>
      </c>
      <c r="D9" s="90">
        <f>new_case_fatality!H15</f>
        <v>1012</v>
      </c>
      <c r="E9" s="91">
        <v>36200000</v>
      </c>
      <c r="F9">
        <f t="shared" si="0"/>
        <v>1.218232044198895</v>
      </c>
      <c r="G9">
        <f t="shared" si="0"/>
        <v>1.8066298342541436</v>
      </c>
      <c r="H9">
        <f t="shared" si="0"/>
        <v>2.7955801104972378</v>
      </c>
    </row>
    <row r="10" spans="2:5" ht="12.75">
      <c r="B10" s="90"/>
      <c r="C10" s="90"/>
      <c r="D10" s="90"/>
      <c r="E10" s="90"/>
    </row>
    <row r="11" spans="2:5" ht="12.75">
      <c r="B11" s="90"/>
      <c r="C11" s="90"/>
      <c r="D11" s="90"/>
      <c r="E11" s="90"/>
    </row>
    <row r="12" spans="1:5" ht="12.75">
      <c r="A12" t="s">
        <v>214</v>
      </c>
      <c r="E12" t="s">
        <v>198</v>
      </c>
    </row>
    <row r="13" spans="2:21" ht="12.75">
      <c r="B13" s="412" t="s">
        <v>212</v>
      </c>
      <c r="C13" s="412"/>
      <c r="D13" s="412"/>
      <c r="E13" s="88"/>
      <c r="F13" s="412" t="s">
        <v>199</v>
      </c>
      <c r="G13" s="412"/>
      <c r="H13" s="412"/>
      <c r="J13" t="s">
        <v>114</v>
      </c>
      <c r="K13" s="412" t="s">
        <v>215</v>
      </c>
      <c r="L13" s="412"/>
      <c r="M13" s="412"/>
      <c r="N13" s="59" t="s">
        <v>200</v>
      </c>
      <c r="O13" s="412" t="s">
        <v>199</v>
      </c>
      <c r="P13" s="412"/>
      <c r="Q13" s="412"/>
      <c r="R13" s="148"/>
      <c r="S13" s="412" t="s">
        <v>213</v>
      </c>
      <c r="T13" s="412"/>
      <c r="U13" s="412"/>
    </row>
    <row r="14" spans="2:21" ht="12.75">
      <c r="B14" s="59" t="s">
        <v>201</v>
      </c>
      <c r="C14" s="59" t="s">
        <v>202</v>
      </c>
      <c r="D14" s="59" t="s">
        <v>203</v>
      </c>
      <c r="E14" s="91"/>
      <c r="F14" s="59" t="s">
        <v>201</v>
      </c>
      <c r="G14" s="59" t="s">
        <v>202</v>
      </c>
      <c r="H14" s="59" t="s">
        <v>203</v>
      </c>
      <c r="K14" s="59" t="s">
        <v>201</v>
      </c>
      <c r="L14" s="59" t="s">
        <v>202</v>
      </c>
      <c r="M14" s="59" t="s">
        <v>203</v>
      </c>
      <c r="N14" s="59"/>
      <c r="O14" s="59" t="s">
        <v>201</v>
      </c>
      <c r="P14" s="59" t="s">
        <v>202</v>
      </c>
      <c r="Q14" s="59" t="s">
        <v>203</v>
      </c>
      <c r="R14" s="148"/>
      <c r="S14" s="59" t="s">
        <v>201</v>
      </c>
      <c r="T14" s="59" t="s">
        <v>202</v>
      </c>
      <c r="U14" s="59" t="s">
        <v>203</v>
      </c>
    </row>
    <row r="15" spans="1:21" ht="12.75">
      <c r="A15" t="s">
        <v>204</v>
      </c>
      <c r="B15" s="90">
        <f>B4*Sheet1!$E19</f>
        <v>1100.94</v>
      </c>
      <c r="C15" s="90">
        <f>C4*Sheet1!$E19</f>
        <v>1633.12</v>
      </c>
      <c r="D15" s="90">
        <f>D4*Sheet1!$E19</f>
        <v>2528.15</v>
      </c>
      <c r="E15" s="91">
        <v>20600000</v>
      </c>
      <c r="F15">
        <f aca="true" t="shared" si="2" ref="F15:H20">100000*B15/$E15</f>
        <v>5.344368932038835</v>
      </c>
      <c r="G15">
        <f t="shared" si="2"/>
        <v>7.927766990291262</v>
      </c>
      <c r="H15">
        <f t="shared" si="2"/>
        <v>12.27257281553398</v>
      </c>
      <c r="J15" t="s">
        <v>137</v>
      </c>
      <c r="K15" s="92">
        <f>SUM(B15:B16)</f>
        <v>2391.0339999999997</v>
      </c>
      <c r="L15" s="92">
        <f>SUM(C15:C16)</f>
        <v>3547.1684999999998</v>
      </c>
      <c r="M15" s="92">
        <f>SUM(D15:D16)</f>
        <v>5490.6875</v>
      </c>
      <c r="N15" s="92">
        <f>SUM(E15:E16)</f>
        <v>73800000</v>
      </c>
      <c r="O15">
        <f>K15*100000/$N15</f>
        <v>3.239883468834688</v>
      </c>
      <c r="P15">
        <f aca="true" t="shared" si="3" ref="P15:Q17">L15*100000/$N15</f>
        <v>4.806461382113821</v>
      </c>
      <c r="Q15">
        <f t="shared" si="3"/>
        <v>7.439955962059621</v>
      </c>
      <c r="S15" s="93">
        <f>M15/cases!$M15</f>
        <v>0.021051358722419488</v>
      </c>
      <c r="T15" s="93">
        <f>L15/cases!$L15</f>
        <v>0.025486366833763423</v>
      </c>
      <c r="U15" s="93">
        <f>K15/cases!$K15</f>
        <v>0.028641116533807378</v>
      </c>
    </row>
    <row r="16" spans="1:21" ht="12.75">
      <c r="A16" t="s">
        <v>205</v>
      </c>
      <c r="B16" s="90">
        <f>B5*Sheet1!$E20</f>
        <v>1290.0939999999998</v>
      </c>
      <c r="C16" s="90">
        <f>C5*Sheet1!$E20</f>
        <v>1914.0484999999999</v>
      </c>
      <c r="D16" s="90">
        <f>D5*Sheet1!$E20</f>
        <v>2962.5375</v>
      </c>
      <c r="E16" s="91">
        <v>53200000</v>
      </c>
      <c r="F16">
        <f t="shared" si="2"/>
        <v>2.424988721804511</v>
      </c>
      <c r="G16">
        <f t="shared" si="2"/>
        <v>3.5978355263157895</v>
      </c>
      <c r="H16">
        <f t="shared" si="2"/>
        <v>5.568679511278195</v>
      </c>
      <c r="J16" t="s">
        <v>139</v>
      </c>
      <c r="K16" s="92">
        <f>SUM(B17:B19)</f>
        <v>3876.174</v>
      </c>
      <c r="L16" s="92">
        <f>SUM(C17:C19)</f>
        <v>5750.0685</v>
      </c>
      <c r="M16" s="92">
        <f>SUM(D17:D19)</f>
        <v>8899.267500000002</v>
      </c>
      <c r="N16" s="92">
        <f>SUM(E17:E19)</f>
        <v>187100000</v>
      </c>
      <c r="O16">
        <f>K16*100000/$N16</f>
        <v>2.071712453233565</v>
      </c>
      <c r="P16">
        <f t="shared" si="3"/>
        <v>3.073259486905398</v>
      </c>
      <c r="Q16">
        <f t="shared" si="3"/>
        <v>4.756423035809728</v>
      </c>
      <c r="S16" s="93">
        <f>M16/cases!$M16</f>
        <v>0.018997356432656678</v>
      </c>
      <c r="T16" s="93">
        <f>L16/cases!$L16</f>
        <v>0.023003003535661874</v>
      </c>
      <c r="U16" s="93">
        <f>K16/cases!$K16</f>
        <v>0.02585191728537838</v>
      </c>
    </row>
    <row r="17" spans="1:21" ht="12.75">
      <c r="A17" t="s">
        <v>206</v>
      </c>
      <c r="B17" s="90">
        <f>B6*Sheet1!$E21</f>
        <v>953.694</v>
      </c>
      <c r="C17" s="90">
        <f>C6*Sheet1!$E21</f>
        <v>1414.9485</v>
      </c>
      <c r="D17" s="90">
        <f>D6*Sheet1!$E21</f>
        <v>2190.0375000000004</v>
      </c>
      <c r="E17" s="91">
        <v>29225000</v>
      </c>
      <c r="F17">
        <f t="shared" si="2"/>
        <v>3.2632814371257486</v>
      </c>
      <c r="G17">
        <f t="shared" si="2"/>
        <v>4.841568862275449</v>
      </c>
      <c r="H17">
        <f t="shared" si="2"/>
        <v>7.4937125748503</v>
      </c>
      <c r="J17" t="s">
        <v>140</v>
      </c>
      <c r="K17" s="92">
        <f>B20</f>
        <v>357.21000000000004</v>
      </c>
      <c r="L17" s="92">
        <f>C20</f>
        <v>529.74</v>
      </c>
      <c r="M17" s="92">
        <f>D20</f>
        <v>819.72</v>
      </c>
      <c r="N17" s="92">
        <f>E20</f>
        <v>36200000</v>
      </c>
      <c r="O17">
        <f>K17*100000/$N17</f>
        <v>0.986767955801105</v>
      </c>
      <c r="P17">
        <f t="shared" si="3"/>
        <v>1.4633701657458564</v>
      </c>
      <c r="Q17">
        <f t="shared" si="3"/>
        <v>2.2644198895027623</v>
      </c>
      <c r="S17" s="93">
        <f>M17/cases!$M17</f>
        <v>0.0210340038765009</v>
      </c>
      <c r="T17" s="93">
        <f>L17/cases!$L17</f>
        <v>0.02547376346577088</v>
      </c>
      <c r="U17" s="93">
        <f>K17/cases!$K17</f>
        <v>0.028636896346454353</v>
      </c>
    </row>
    <row r="18" spans="1:8" ht="12.75">
      <c r="A18" t="s">
        <v>207</v>
      </c>
      <c r="B18" s="90">
        <f>B7*Sheet1!$E22</f>
        <v>1878.39</v>
      </c>
      <c r="C18" s="90">
        <f>C7*Sheet1!$E22</f>
        <v>2786.4</v>
      </c>
      <c r="D18" s="90">
        <f>D7*Sheet1!$E22</f>
        <v>4312.4400000000005</v>
      </c>
      <c r="E18" s="91">
        <v>104375000</v>
      </c>
      <c r="F18">
        <f t="shared" si="2"/>
        <v>1.7996550898203594</v>
      </c>
      <c r="G18">
        <f t="shared" si="2"/>
        <v>2.6696047904191618</v>
      </c>
      <c r="H18">
        <f t="shared" si="2"/>
        <v>4.131679041916168</v>
      </c>
    </row>
    <row r="19" spans="1:8" ht="12.75">
      <c r="A19" t="s">
        <v>296</v>
      </c>
      <c r="B19" s="90">
        <f>B8*Sheet1!$E23</f>
        <v>1044.0900000000001</v>
      </c>
      <c r="C19" s="90">
        <f>C8*Sheet1!$E23</f>
        <v>1548.72</v>
      </c>
      <c r="D19" s="90">
        <f>D8*Sheet1!$E23</f>
        <v>2396.79</v>
      </c>
      <c r="E19" s="91">
        <v>53500000</v>
      </c>
      <c r="F19">
        <f t="shared" si="2"/>
        <v>1.9515700934579443</v>
      </c>
      <c r="G19">
        <f t="shared" si="2"/>
        <v>2.894803738317757</v>
      </c>
      <c r="H19">
        <f t="shared" si="2"/>
        <v>4.479981308411215</v>
      </c>
    </row>
    <row r="20" spans="1:8" ht="12.75">
      <c r="A20" t="s">
        <v>159</v>
      </c>
      <c r="B20" s="90">
        <f>B9*Sheet1!$E24</f>
        <v>357.21000000000004</v>
      </c>
      <c r="C20" s="90">
        <f>C9*Sheet1!$E24</f>
        <v>529.74</v>
      </c>
      <c r="D20" s="90">
        <f>D9*Sheet1!$E24</f>
        <v>819.72</v>
      </c>
      <c r="E20" s="91">
        <v>36200000</v>
      </c>
      <c r="F20">
        <f t="shared" si="2"/>
        <v>0.986767955801105</v>
      </c>
      <c r="G20">
        <f t="shared" si="2"/>
        <v>1.4633701657458564</v>
      </c>
      <c r="H20">
        <f t="shared" si="2"/>
        <v>2.2644198895027623</v>
      </c>
    </row>
    <row r="21" spans="2:5" ht="12.75">
      <c r="B21" s="90"/>
      <c r="C21" s="90"/>
      <c r="D21" s="90"/>
      <c r="E21" s="90"/>
    </row>
    <row r="22" spans="2:5" ht="12.75">
      <c r="B22" s="90"/>
      <c r="C22" s="90"/>
      <c r="D22" s="90"/>
      <c r="E22" s="90"/>
    </row>
    <row r="23" ht="12.75">
      <c r="A23" t="s">
        <v>216</v>
      </c>
    </row>
    <row r="24" spans="2:21" ht="12.75">
      <c r="B24" s="412" t="s">
        <v>212</v>
      </c>
      <c r="C24" s="412"/>
      <c r="D24" s="412"/>
      <c r="E24" s="88"/>
      <c r="F24" s="412" t="s">
        <v>199</v>
      </c>
      <c r="G24" s="412"/>
      <c r="H24" s="412"/>
      <c r="J24" t="s">
        <v>114</v>
      </c>
      <c r="K24" s="412" t="s">
        <v>211</v>
      </c>
      <c r="L24" s="412"/>
      <c r="M24" s="412"/>
      <c r="N24" s="59" t="s">
        <v>200</v>
      </c>
      <c r="O24" s="412" t="s">
        <v>199</v>
      </c>
      <c r="P24" s="412"/>
      <c r="Q24" s="412"/>
      <c r="R24" s="148"/>
      <c r="S24" s="412" t="s">
        <v>213</v>
      </c>
      <c r="T24" s="412"/>
      <c r="U24" s="412"/>
    </row>
    <row r="25" spans="2:21" ht="12.75">
      <c r="B25" s="59" t="s">
        <v>201</v>
      </c>
      <c r="C25" s="59" t="s">
        <v>202</v>
      </c>
      <c r="D25" s="59" t="s">
        <v>203</v>
      </c>
      <c r="E25" s="91"/>
      <c r="F25" s="59" t="s">
        <v>201</v>
      </c>
      <c r="G25" s="59" t="s">
        <v>202</v>
      </c>
      <c r="H25" s="59" t="s">
        <v>203</v>
      </c>
      <c r="K25" s="59" t="s">
        <v>201</v>
      </c>
      <c r="L25" s="59" t="s">
        <v>202</v>
      </c>
      <c r="M25" s="59" t="s">
        <v>203</v>
      </c>
      <c r="N25" s="59"/>
      <c r="O25" s="59" t="s">
        <v>201</v>
      </c>
      <c r="P25" s="59" t="s">
        <v>202</v>
      </c>
      <c r="Q25" s="59" t="s">
        <v>203</v>
      </c>
      <c r="R25" s="148"/>
      <c r="S25" s="59" t="s">
        <v>201</v>
      </c>
      <c r="T25" s="59" t="s">
        <v>202</v>
      </c>
      <c r="U25" s="59" t="s">
        <v>203</v>
      </c>
    </row>
    <row r="26" spans="1:21" ht="12.75">
      <c r="A26" t="s">
        <v>204</v>
      </c>
      <c r="B26" s="90">
        <f aca="true" t="shared" si="4" ref="B26:D31">B4-B15</f>
        <v>765.06</v>
      </c>
      <c r="C26" s="90">
        <f t="shared" si="4"/>
        <v>1134.88</v>
      </c>
      <c r="D26" s="90">
        <f t="shared" si="4"/>
        <v>1756.85</v>
      </c>
      <c r="E26" s="91">
        <v>20600000</v>
      </c>
      <c r="F26">
        <f aca="true" t="shared" si="5" ref="F26:H31">100000*B26/$E26</f>
        <v>3.713883495145631</v>
      </c>
      <c r="G26">
        <f t="shared" si="5"/>
        <v>5.509126213592234</v>
      </c>
      <c r="H26">
        <f t="shared" si="5"/>
        <v>8.528398058252428</v>
      </c>
      <c r="J26" t="s">
        <v>137</v>
      </c>
      <c r="K26" s="92">
        <f>SUM(B26:B27)</f>
        <v>1661.566</v>
      </c>
      <c r="L26" s="92">
        <f>SUM(C26:C27)</f>
        <v>2464.9815000000003</v>
      </c>
      <c r="M26" s="92">
        <f>SUM(D26:D27)</f>
        <v>3815.5625</v>
      </c>
      <c r="N26" s="92">
        <f>SUM(E26:E27)</f>
        <v>73800000</v>
      </c>
      <c r="O26">
        <f>K26*100000/$N26</f>
        <v>2.2514444444444446</v>
      </c>
      <c r="P26">
        <f aca="true" t="shared" si="6" ref="P26:Q28">L26*100000/$N26</f>
        <v>3.3400833333333337</v>
      </c>
      <c r="Q26">
        <f t="shared" si="6"/>
        <v>5.170138888888889</v>
      </c>
      <c r="S26" s="93">
        <f>M26/cases!$M26</f>
        <v>0.0014128962398380115</v>
      </c>
      <c r="T26" s="93">
        <f>L26/cases!$L26</f>
        <v>0.0017105590352325666</v>
      </c>
      <c r="U26" s="93">
        <f>K26/cases!$K26</f>
        <v>0.0019222952014152834</v>
      </c>
    </row>
    <row r="27" spans="1:21" ht="12.75">
      <c r="A27" t="s">
        <v>205</v>
      </c>
      <c r="B27" s="90">
        <f t="shared" si="4"/>
        <v>896.5060000000001</v>
      </c>
      <c r="C27" s="90">
        <f t="shared" si="4"/>
        <v>1330.1015000000002</v>
      </c>
      <c r="D27" s="90">
        <f t="shared" si="4"/>
        <v>2058.7125</v>
      </c>
      <c r="E27" s="91">
        <v>53200000</v>
      </c>
      <c r="F27">
        <f t="shared" si="5"/>
        <v>1.6851616541353387</v>
      </c>
      <c r="G27">
        <f t="shared" si="5"/>
        <v>2.5001907894736846</v>
      </c>
      <c r="H27">
        <f t="shared" si="5"/>
        <v>3.8697603383458645</v>
      </c>
      <c r="J27" t="s">
        <v>139</v>
      </c>
      <c r="K27" s="92">
        <f>SUM(B28:B30)</f>
        <v>909.2259999999997</v>
      </c>
      <c r="L27" s="92">
        <f>SUM(C28:C30)</f>
        <v>1348.7814999999998</v>
      </c>
      <c r="M27" s="92">
        <f>SUM(D28:D30)</f>
        <v>2087.482499999999</v>
      </c>
      <c r="N27" s="92">
        <f>SUM(E28:E30)</f>
        <v>187100000</v>
      </c>
      <c r="O27">
        <f>K27*100000/$N27</f>
        <v>0.4859572421165151</v>
      </c>
      <c r="P27">
        <f t="shared" si="6"/>
        <v>0.7208880277926241</v>
      </c>
      <c r="Q27">
        <f t="shared" si="6"/>
        <v>1.1157041688936393</v>
      </c>
      <c r="S27" s="93">
        <f>M27/cases!$M27</f>
        <v>0.0009437613982928413</v>
      </c>
      <c r="T27" s="93">
        <f>L27/cases!$L27</f>
        <v>0.0011427561965638969</v>
      </c>
      <c r="U27" s="93">
        <f>K27/cases!$K27</f>
        <v>0.0012842861422476155</v>
      </c>
    </row>
    <row r="28" spans="1:21" ht="12.75">
      <c r="A28" t="s">
        <v>206</v>
      </c>
      <c r="B28" s="90">
        <f t="shared" si="4"/>
        <v>223.7059999999999</v>
      </c>
      <c r="C28" s="90">
        <f t="shared" si="4"/>
        <v>331.90149999999994</v>
      </c>
      <c r="D28" s="90">
        <f t="shared" si="4"/>
        <v>513.7124999999996</v>
      </c>
      <c r="E28" s="91">
        <v>29225000</v>
      </c>
      <c r="F28">
        <f t="shared" si="5"/>
        <v>0.7654610778443109</v>
      </c>
      <c r="G28">
        <f t="shared" si="5"/>
        <v>1.1356766467065866</v>
      </c>
      <c r="H28">
        <f t="shared" si="5"/>
        <v>1.7577844311377233</v>
      </c>
      <c r="J28" t="s">
        <v>140</v>
      </c>
      <c r="K28" s="92">
        <f>B31</f>
        <v>83.78999999999996</v>
      </c>
      <c r="L28" s="92">
        <f>C31</f>
        <v>124.25999999999999</v>
      </c>
      <c r="M28" s="92">
        <f>D31</f>
        <v>192.27999999999997</v>
      </c>
      <c r="N28" s="92">
        <f>E31</f>
        <v>36200000</v>
      </c>
      <c r="O28">
        <f>K28*100000/$N28</f>
        <v>0.23146408839778995</v>
      </c>
      <c r="P28">
        <f t="shared" si="6"/>
        <v>0.3432596685082873</v>
      </c>
      <c r="Q28">
        <f t="shared" si="6"/>
        <v>0.531160220994475</v>
      </c>
      <c r="S28" s="93">
        <f>M28/cases!$M28</f>
        <v>0.004773014030483495</v>
      </c>
      <c r="T28" s="93">
        <f>L28/cases!$L28</f>
        <v>0.005780479605558045</v>
      </c>
      <c r="U28" s="93">
        <f>K28/cases!$K28</f>
        <v>0.006498254391016409</v>
      </c>
    </row>
    <row r="29" spans="1:8" ht="12.75">
      <c r="A29" t="s">
        <v>207</v>
      </c>
      <c r="B29" s="90">
        <f t="shared" si="4"/>
        <v>440.6099999999999</v>
      </c>
      <c r="C29" s="90">
        <f t="shared" si="4"/>
        <v>653.5999999999999</v>
      </c>
      <c r="D29" s="90">
        <f t="shared" si="4"/>
        <v>1011.5599999999995</v>
      </c>
      <c r="E29" s="91">
        <v>104375000</v>
      </c>
      <c r="F29">
        <f t="shared" si="5"/>
        <v>0.4221413173652694</v>
      </c>
      <c r="G29">
        <f t="shared" si="5"/>
        <v>0.6262035928143712</v>
      </c>
      <c r="H29">
        <f t="shared" si="5"/>
        <v>0.9691592814371254</v>
      </c>
    </row>
    <row r="30" spans="1:8" ht="12.75">
      <c r="A30" t="s">
        <v>296</v>
      </c>
      <c r="B30" s="90">
        <f t="shared" si="4"/>
        <v>244.90999999999985</v>
      </c>
      <c r="C30" s="90">
        <f t="shared" si="4"/>
        <v>363.28</v>
      </c>
      <c r="D30" s="90">
        <f t="shared" si="4"/>
        <v>562.21</v>
      </c>
      <c r="E30" s="91">
        <v>53500000</v>
      </c>
      <c r="F30">
        <f t="shared" si="5"/>
        <v>0.45777570093457914</v>
      </c>
      <c r="G30">
        <f t="shared" si="5"/>
        <v>0.6790280373831775</v>
      </c>
      <c r="H30">
        <f t="shared" si="5"/>
        <v>1.0508598130841122</v>
      </c>
    </row>
    <row r="31" spans="1:8" ht="12.75">
      <c r="A31" t="s">
        <v>159</v>
      </c>
      <c r="B31" s="90">
        <f t="shared" si="4"/>
        <v>83.78999999999996</v>
      </c>
      <c r="C31" s="90">
        <f t="shared" si="4"/>
        <v>124.25999999999999</v>
      </c>
      <c r="D31" s="90">
        <f t="shared" si="4"/>
        <v>192.27999999999997</v>
      </c>
      <c r="E31" s="91">
        <v>36200000</v>
      </c>
      <c r="F31">
        <f t="shared" si="5"/>
        <v>0.23146408839778995</v>
      </c>
      <c r="G31">
        <f t="shared" si="5"/>
        <v>0.3432596685082873</v>
      </c>
      <c r="H31">
        <f t="shared" si="5"/>
        <v>0.531160220994475</v>
      </c>
    </row>
    <row r="32" spans="2:5" ht="12.75">
      <c r="B32" s="90"/>
      <c r="C32" s="90"/>
      <c r="D32" s="90"/>
      <c r="E32" s="90"/>
    </row>
    <row r="33" spans="2:4" ht="12.75">
      <c r="B33" s="234">
        <f>SUM(B26:B31,B15:B20)/SUM(cases!B4:B9)</f>
        <v>0.005067401519073614</v>
      </c>
      <c r="C33" s="90"/>
      <c r="D33" s="90"/>
    </row>
  </sheetData>
  <sheetProtection/>
  <mergeCells count="15">
    <mergeCell ref="B24:D24"/>
    <mergeCell ref="F24:H24"/>
    <mergeCell ref="S2:U2"/>
    <mergeCell ref="S13:U13"/>
    <mergeCell ref="S24:U24"/>
    <mergeCell ref="K13:M13"/>
    <mergeCell ref="O13:Q13"/>
    <mergeCell ref="K24:M24"/>
    <mergeCell ref="O24:Q24"/>
    <mergeCell ref="B2:D2"/>
    <mergeCell ref="F2:H2"/>
    <mergeCell ref="K2:M2"/>
    <mergeCell ref="O2:Q2"/>
    <mergeCell ref="B13:D13"/>
    <mergeCell ref="F13:H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7">
    <tabColor indexed="57"/>
    <pageSetUpPr fitToPage="1"/>
  </sheetPr>
  <dimension ref="B6:I24"/>
  <sheetViews>
    <sheetView showRowColHeaders="0" zoomScalePageLayoutView="0" workbookViewId="0" topLeftCell="A1">
      <selection activeCell="G14" sqref="G14:I15"/>
    </sheetView>
  </sheetViews>
  <sheetFormatPr defaultColWidth="9.140625" defaultRowHeight="12.75"/>
  <cols>
    <col min="1" max="1" width="9.140625" style="5" customWidth="1"/>
    <col min="2" max="2" width="13.140625" style="5" customWidth="1"/>
    <col min="3" max="6" width="9.140625" style="5" customWidth="1"/>
    <col min="7" max="7" width="13.00390625" style="5" customWidth="1"/>
    <col min="8" max="16384" width="9.140625" style="5" customWidth="1"/>
  </cols>
  <sheetData>
    <row r="1" s="1" customFormat="1" ht="12.75"/>
    <row r="2" s="1" customFormat="1" ht="12.75"/>
    <row r="3" s="1" customFormat="1" ht="12.75"/>
    <row r="4" s="1" customFormat="1" ht="12.75"/>
    <row r="5" ht="12.75" customHeight="1"/>
    <row r="6" spans="4:8" ht="12.75" customHeight="1">
      <c r="D6" s="366" t="s">
        <v>242</v>
      </c>
      <c r="E6" s="366"/>
      <c r="F6" s="366"/>
      <c r="G6" s="366"/>
      <c r="H6" s="366"/>
    </row>
    <row r="7" spans="4:8" ht="18" customHeight="1">
      <c r="D7" s="366"/>
      <c r="E7" s="366"/>
      <c r="F7" s="366"/>
      <c r="G7" s="366"/>
      <c r="H7" s="366"/>
    </row>
    <row r="9" ht="13.5" thickBot="1"/>
    <row r="10" spans="2:9" ht="17.25" thickBot="1" thickTop="1">
      <c r="B10" s="7" t="s">
        <v>244</v>
      </c>
      <c r="G10" s="129"/>
      <c r="H10" s="130"/>
      <c r="I10" s="131"/>
    </row>
    <row r="11" ht="15.75" thickTop="1">
      <c r="B11" s="13"/>
    </row>
    <row r="12" ht="15.75">
      <c r="B12" s="7" t="s">
        <v>256</v>
      </c>
    </row>
    <row r="13" ht="15.75" thickBot="1">
      <c r="B13" s="13"/>
    </row>
    <row r="14" spans="2:9" ht="15.75" thickTop="1">
      <c r="B14" s="13" t="s">
        <v>249</v>
      </c>
      <c r="G14" s="360" t="s">
        <v>260</v>
      </c>
      <c r="H14" s="361"/>
      <c r="I14" s="362"/>
    </row>
    <row r="15" spans="2:9" ht="15.75" thickBot="1">
      <c r="B15" s="13" t="s">
        <v>250</v>
      </c>
      <c r="G15" s="363"/>
      <c r="H15" s="364"/>
      <c r="I15" s="365"/>
    </row>
    <row r="16" ht="15.75" thickTop="1">
      <c r="B16" s="13"/>
    </row>
    <row r="17" spans="2:7" ht="15">
      <c r="B17" s="13" t="s">
        <v>245</v>
      </c>
      <c r="G17" s="5" t="s">
        <v>253</v>
      </c>
    </row>
    <row r="18" ht="15">
      <c r="B18" s="13" t="s">
        <v>246</v>
      </c>
    </row>
    <row r="19" ht="15.75" thickBot="1">
      <c r="B19" s="13"/>
    </row>
    <row r="20" spans="2:9" ht="17.25" thickBot="1" thickTop="1">
      <c r="B20" s="7" t="s">
        <v>243</v>
      </c>
      <c r="G20" s="140"/>
      <c r="H20" s="141"/>
      <c r="I20" s="142"/>
    </row>
    <row r="21" ht="13.5" thickTop="1"/>
    <row r="22" spans="2:7" ht="15.75">
      <c r="B22" s="7" t="s">
        <v>247</v>
      </c>
      <c r="G22" s="5" t="s">
        <v>254</v>
      </c>
    </row>
    <row r="24" spans="2:7" ht="15.75">
      <c r="B24" s="7" t="s">
        <v>248</v>
      </c>
      <c r="G24" s="5" t="s">
        <v>255</v>
      </c>
    </row>
  </sheetData>
  <sheetProtection/>
  <mergeCells count="2">
    <mergeCell ref="G14:I15"/>
    <mergeCell ref="D6:H7"/>
  </mergeCells>
  <printOptions/>
  <pageMargins left="0.75" right="0.75" top="1" bottom="1" header="0.5" footer="0.5"/>
  <pageSetup fitToHeight="1" fitToWidth="1" horizontalDpi="600" verticalDpi="600" orientation="landscape" r:id="rId3"/>
  <drawing r:id="rId2"/>
  <legacyDrawing r:id="rId1"/>
</worksheet>
</file>

<file path=xl/worksheets/sheet20.xml><?xml version="1.0" encoding="utf-8"?>
<worksheet xmlns="http://schemas.openxmlformats.org/spreadsheetml/2006/main" xmlns:r="http://schemas.openxmlformats.org/officeDocument/2006/relationships">
  <sheetPr codeName="Sheet18"/>
  <dimension ref="A1:U33"/>
  <sheetViews>
    <sheetView zoomScalePageLayoutView="0" workbookViewId="0" topLeftCell="K1">
      <selection activeCell="B15" sqref="B15"/>
    </sheetView>
  </sheetViews>
  <sheetFormatPr defaultColWidth="9.140625" defaultRowHeight="12.75"/>
  <cols>
    <col min="1" max="1" width="14.00390625" style="0" customWidth="1"/>
    <col min="2" max="2" width="11.57421875" style="0" customWidth="1"/>
    <col min="3" max="3" width="12.8515625" style="0" bestFit="1" customWidth="1"/>
    <col min="4" max="4" width="17.140625" style="0" customWidth="1"/>
    <col min="5" max="5" width="20.140625" style="0" hidden="1" customWidth="1"/>
    <col min="6" max="8" width="0" style="0" hidden="1" customWidth="1"/>
    <col min="9" max="9" width="9.140625" style="87" customWidth="1"/>
    <col min="12" max="12" width="10.421875" style="0" customWidth="1"/>
    <col min="13" max="13" width="11.140625" style="0" customWidth="1"/>
    <col min="14" max="14" width="12.421875" style="0" hidden="1" customWidth="1"/>
    <col min="15" max="17" width="0" style="0" hidden="1" customWidth="1"/>
    <col min="18" max="18" width="9.140625" style="147" customWidth="1"/>
    <col min="19" max="21" width="11.7109375" style="0" bestFit="1" customWidth="1"/>
  </cols>
  <sheetData>
    <row r="1" spans="1:5" ht="12.75">
      <c r="A1" t="s">
        <v>114</v>
      </c>
      <c r="E1" t="s">
        <v>198</v>
      </c>
    </row>
    <row r="2" spans="2:21" ht="12.75">
      <c r="B2" s="412" t="s">
        <v>188</v>
      </c>
      <c r="C2" s="412"/>
      <c r="D2" s="412"/>
      <c r="E2" s="88"/>
      <c r="F2" s="412" t="s">
        <v>199</v>
      </c>
      <c r="G2" s="412"/>
      <c r="H2" s="412"/>
      <c r="J2" t="s">
        <v>114</v>
      </c>
      <c r="K2" s="412" t="s">
        <v>188</v>
      </c>
      <c r="L2" s="412"/>
      <c r="M2" s="412"/>
      <c r="N2" s="59" t="s">
        <v>200</v>
      </c>
      <c r="O2" s="412" t="s">
        <v>199</v>
      </c>
      <c r="P2" s="412"/>
      <c r="Q2" s="412"/>
      <c r="R2" s="148"/>
      <c r="S2" s="413" t="s">
        <v>217</v>
      </c>
      <c r="T2" s="413"/>
      <c r="U2" s="413"/>
    </row>
    <row r="3" spans="2:21" ht="12.75">
      <c r="B3" s="59" t="s">
        <v>201</v>
      </c>
      <c r="C3" s="59" t="s">
        <v>202</v>
      </c>
      <c r="D3" s="59" t="s">
        <v>203</v>
      </c>
      <c r="E3" s="89"/>
      <c r="F3" s="59" t="s">
        <v>201</v>
      </c>
      <c r="G3" s="59" t="s">
        <v>202</v>
      </c>
      <c r="H3" s="59" t="s">
        <v>203</v>
      </c>
      <c r="K3" s="59" t="s">
        <v>201</v>
      </c>
      <c r="L3" s="59" t="s">
        <v>202</v>
      </c>
      <c r="M3" s="59" t="s">
        <v>203</v>
      </c>
      <c r="N3" s="59"/>
      <c r="O3" s="59" t="s">
        <v>201</v>
      </c>
      <c r="P3" s="59" t="s">
        <v>202</v>
      </c>
      <c r="Q3" s="59" t="s">
        <v>203</v>
      </c>
      <c r="R3" s="148"/>
      <c r="S3" s="59" t="s">
        <v>201</v>
      </c>
      <c r="T3" s="59" t="s">
        <v>202</v>
      </c>
      <c r="U3" s="59" t="s">
        <v>203</v>
      </c>
    </row>
    <row r="4" spans="1:21" ht="12.75">
      <c r="A4" t="s">
        <v>204</v>
      </c>
      <c r="B4" s="90">
        <f>new_case_fatality!G18</f>
        <v>13.861331999999997</v>
      </c>
      <c r="C4" s="90">
        <f>new_case_fatality!F18</f>
        <v>20.563415999999997</v>
      </c>
      <c r="D4" s="90">
        <f>new_case_fatality!H18</f>
        <v>31.829669999999997</v>
      </c>
      <c r="E4" s="91">
        <v>20600000</v>
      </c>
      <c r="F4">
        <f aca="true" t="shared" si="0" ref="F4:H9">100000*B4/$E4</f>
        <v>0.06728801941747571</v>
      </c>
      <c r="G4">
        <f t="shared" si="0"/>
        <v>0.09982240776699028</v>
      </c>
      <c r="H4">
        <f t="shared" si="0"/>
        <v>0.15451296116504853</v>
      </c>
      <c r="J4" t="s">
        <v>137</v>
      </c>
      <c r="K4" s="92">
        <f>SUM(B4:B5)</f>
        <v>76.60473479999999</v>
      </c>
      <c r="L4" s="92">
        <f>SUM(C4:C5)</f>
        <v>113.64384239999998</v>
      </c>
      <c r="M4" s="92">
        <f>SUM(D4:D5)</f>
        <v>175.906863</v>
      </c>
      <c r="N4" s="92">
        <f>SUM(E4:E5)</f>
        <v>73800000</v>
      </c>
      <c r="O4">
        <f>K4*100000/$N4</f>
        <v>0.10380045365853656</v>
      </c>
      <c r="P4">
        <f aca="true" t="shared" si="1" ref="P4:Q6">L4*100000/$N4</f>
        <v>0.1539889463414634</v>
      </c>
      <c r="Q4">
        <f t="shared" si="1"/>
        <v>0.23835618292682922</v>
      </c>
      <c r="S4" s="236">
        <f>M4/cases!$M4</f>
        <v>5.940092168466259E-05</v>
      </c>
      <c r="T4" s="236">
        <f>L4/cases!$L4</f>
        <v>7.19165780712732E-05</v>
      </c>
      <c r="U4" s="236">
        <f>K4/cases!$K4</f>
        <v>8.081961938527606E-05</v>
      </c>
    </row>
    <row r="5" spans="1:21" ht="12.75">
      <c r="A5" t="s">
        <v>205</v>
      </c>
      <c r="B5" s="90">
        <f>(13/20)*new_case_fatality!G19</f>
        <v>62.74340279999999</v>
      </c>
      <c r="C5" s="90">
        <f>(13/20)*new_case_fatality!F19</f>
        <v>93.0804264</v>
      </c>
      <c r="D5" s="90">
        <f>(13/20)*new_case_fatality!H19</f>
        <v>144.077193</v>
      </c>
      <c r="E5" s="91">
        <v>53200000</v>
      </c>
      <c r="F5">
        <f t="shared" si="0"/>
        <v>0.11793872706766916</v>
      </c>
      <c r="G5">
        <f t="shared" si="0"/>
        <v>0.17496320751879696</v>
      </c>
      <c r="H5">
        <f t="shared" si="0"/>
        <v>0.2708217913533834</v>
      </c>
      <c r="J5" t="s">
        <v>139</v>
      </c>
      <c r="K5" s="92">
        <f>SUM(B6:B8)</f>
        <v>427.13499719999993</v>
      </c>
      <c r="L5" s="92">
        <f>SUM(C6:C8)</f>
        <v>633.6587735999999</v>
      </c>
      <c r="M5" s="92">
        <f>SUM(D6:D8)</f>
        <v>980.8268069999999</v>
      </c>
      <c r="N5" s="92">
        <f>SUM(E6:E8)</f>
        <v>187100000</v>
      </c>
      <c r="O5">
        <f>K5*100000/$N5</f>
        <v>0.22829235553180113</v>
      </c>
      <c r="P5">
        <f t="shared" si="1"/>
        <v>0.33867385013361834</v>
      </c>
      <c r="Q5">
        <f t="shared" si="1"/>
        <v>0.5242259791555317</v>
      </c>
      <c r="S5" s="236">
        <f>M5/cases!$M5</f>
        <v>0.0003659360552055863</v>
      </c>
      <c r="T5" s="236">
        <f>L5/cases!$L5</f>
        <v>0.0004430379668457112</v>
      </c>
      <c r="U5" s="236">
        <f>K5/cases!$K5</f>
        <v>0.000497884510631924</v>
      </c>
    </row>
    <row r="6" spans="1:21" ht="12.75">
      <c r="A6" t="s">
        <v>206</v>
      </c>
      <c r="B6" s="90">
        <f>(7/20)*new_case_fatality!G19</f>
        <v>33.784909199999994</v>
      </c>
      <c r="C6" s="90">
        <f>(7/20)*new_case_fatality!F19</f>
        <v>50.12022959999999</v>
      </c>
      <c r="D6" s="90">
        <f>(7/20)*new_case_fatality!H19</f>
        <v>77.58002699999999</v>
      </c>
      <c r="E6" s="91">
        <v>29225000</v>
      </c>
      <c r="F6">
        <f t="shared" si="0"/>
        <v>0.11560276886227543</v>
      </c>
      <c r="G6">
        <f t="shared" si="0"/>
        <v>0.17149779161676643</v>
      </c>
      <c r="H6">
        <f t="shared" si="0"/>
        <v>0.265457748502994</v>
      </c>
      <c r="J6" t="s">
        <v>140</v>
      </c>
      <c r="K6" s="92">
        <f>B9</f>
        <v>52.32792</v>
      </c>
      <c r="L6" s="92">
        <f>C9</f>
        <v>77.62895999999999</v>
      </c>
      <c r="M6" s="92">
        <f>D9</f>
        <v>120.16019999999999</v>
      </c>
      <c r="N6" s="92">
        <f>E9</f>
        <v>36200000</v>
      </c>
      <c r="O6">
        <f>K6*100000/$N6</f>
        <v>0.14455226519337017</v>
      </c>
      <c r="P6">
        <f t="shared" si="1"/>
        <v>0.21444464088397788</v>
      </c>
      <c r="Q6">
        <f t="shared" si="1"/>
        <v>0.33193425414364636</v>
      </c>
      <c r="S6" s="236">
        <f>M6/cases!$M6</f>
        <v>0.0015161022509336832</v>
      </c>
      <c r="T6" s="236">
        <f>L6/cases!$L6</f>
        <v>0.0018355471483968598</v>
      </c>
      <c r="U6" s="236">
        <f>K6/cases!$K6</f>
        <v>0.00206275307473983</v>
      </c>
    </row>
    <row r="7" spans="1:21" ht="12.75">
      <c r="A7" t="s">
        <v>207</v>
      </c>
      <c r="B7" s="90">
        <f>new_case_fatality!G20</f>
        <v>250.06065599999997</v>
      </c>
      <c r="C7" s="94">
        <f>new_case_fatality!F20</f>
        <v>370.96732799999995</v>
      </c>
      <c r="D7" s="90">
        <f>new_case_fatality!H20</f>
        <v>574.21236</v>
      </c>
      <c r="E7" s="91">
        <v>104375000</v>
      </c>
      <c r="F7">
        <f t="shared" si="0"/>
        <v>0.23957907161676645</v>
      </c>
      <c r="G7">
        <f t="shared" si="0"/>
        <v>0.3554177992814371</v>
      </c>
      <c r="H7">
        <f t="shared" si="0"/>
        <v>0.5501435784431138</v>
      </c>
      <c r="S7" s="235"/>
      <c r="T7" s="235"/>
      <c r="U7" s="235"/>
    </row>
    <row r="8" spans="1:8" ht="12.75">
      <c r="A8" t="s">
        <v>296</v>
      </c>
      <c r="B8" s="90">
        <f>new_case_fatality!G21</f>
        <v>143.289432</v>
      </c>
      <c r="C8" s="94">
        <f>new_case_fatality!F21</f>
        <v>212.571216</v>
      </c>
      <c r="D8" s="90">
        <f>new_case_fatality!H21</f>
        <v>329.03442</v>
      </c>
      <c r="E8" s="91">
        <v>53500000</v>
      </c>
      <c r="F8">
        <f t="shared" si="0"/>
        <v>0.26783071401869163</v>
      </c>
      <c r="G8">
        <f t="shared" si="0"/>
        <v>0.3973293757009345</v>
      </c>
      <c r="H8">
        <f t="shared" si="0"/>
        <v>0.6150176074766355</v>
      </c>
    </row>
    <row r="9" spans="1:8" ht="12.75">
      <c r="A9" t="s">
        <v>159</v>
      </c>
      <c r="B9" s="90">
        <f>new_case_fatality!G22</f>
        <v>52.32792</v>
      </c>
      <c r="C9" s="94">
        <f>new_case_fatality!F22</f>
        <v>77.62895999999999</v>
      </c>
      <c r="D9" s="90">
        <f>new_case_fatality!H22</f>
        <v>120.16019999999999</v>
      </c>
      <c r="E9" s="91">
        <v>36200000</v>
      </c>
      <c r="F9">
        <f t="shared" si="0"/>
        <v>0.14455226519337017</v>
      </c>
      <c r="G9">
        <f t="shared" si="0"/>
        <v>0.21444464088397788</v>
      </c>
      <c r="H9">
        <f t="shared" si="0"/>
        <v>0.33193425414364636</v>
      </c>
    </row>
    <row r="10" spans="2:5" ht="12.75">
      <c r="B10" s="90"/>
      <c r="C10" s="90"/>
      <c r="D10" s="90"/>
      <c r="E10" s="90"/>
    </row>
    <row r="11" spans="2:5" ht="12.75">
      <c r="B11" s="90"/>
      <c r="C11" s="90"/>
      <c r="D11" s="90"/>
      <c r="E11" s="90"/>
    </row>
    <row r="12" spans="1:5" ht="12.75">
      <c r="A12" t="s">
        <v>218</v>
      </c>
      <c r="E12" t="s">
        <v>198</v>
      </c>
    </row>
    <row r="13" spans="2:21" ht="12.75">
      <c r="B13" s="412" t="s">
        <v>188</v>
      </c>
      <c r="C13" s="412"/>
      <c r="D13" s="412"/>
      <c r="E13" s="88"/>
      <c r="F13" s="412" t="s">
        <v>199</v>
      </c>
      <c r="G13" s="412"/>
      <c r="H13" s="412"/>
      <c r="J13" t="s">
        <v>114</v>
      </c>
      <c r="K13" s="412" t="s">
        <v>219</v>
      </c>
      <c r="L13" s="412"/>
      <c r="M13" s="412"/>
      <c r="N13" s="59" t="s">
        <v>200</v>
      </c>
      <c r="O13" s="412" t="s">
        <v>199</v>
      </c>
      <c r="P13" s="412"/>
      <c r="Q13" s="412"/>
      <c r="R13" s="148"/>
      <c r="S13" s="413" t="s">
        <v>217</v>
      </c>
      <c r="T13" s="413"/>
      <c r="U13" s="413"/>
    </row>
    <row r="14" spans="2:21" ht="12.75">
      <c r="B14" s="59" t="s">
        <v>201</v>
      </c>
      <c r="C14" s="59" t="s">
        <v>202</v>
      </c>
      <c r="D14" s="59" t="s">
        <v>203</v>
      </c>
      <c r="E14" s="91"/>
      <c r="F14" s="59" t="s">
        <v>201</v>
      </c>
      <c r="G14" s="59" t="s">
        <v>202</v>
      </c>
      <c r="H14" s="59" t="s">
        <v>203</v>
      </c>
      <c r="K14" s="59" t="s">
        <v>201</v>
      </c>
      <c r="L14" s="59" t="s">
        <v>202</v>
      </c>
      <c r="M14" s="59" t="s">
        <v>203</v>
      </c>
      <c r="N14" s="59"/>
      <c r="O14" s="59" t="s">
        <v>201</v>
      </c>
      <c r="P14" s="59" t="s">
        <v>202</v>
      </c>
      <c r="Q14" s="59" t="s">
        <v>203</v>
      </c>
      <c r="R14" s="148"/>
      <c r="S14" s="59" t="s">
        <v>201</v>
      </c>
      <c r="T14" s="59" t="s">
        <v>202</v>
      </c>
      <c r="U14" s="59" t="s">
        <v>203</v>
      </c>
    </row>
    <row r="15" spans="1:21" ht="12.75">
      <c r="A15" t="s">
        <v>204</v>
      </c>
      <c r="B15" s="90">
        <f>B4*Sheet1!$D19</f>
        <v>8.178185879999997</v>
      </c>
      <c r="C15" s="90">
        <f>C4*Sheet1!$D19</f>
        <v>12.132415439999997</v>
      </c>
      <c r="D15" s="90">
        <f>D4*Sheet1!$D19</f>
        <v>18.779505299999997</v>
      </c>
      <c r="E15" s="91">
        <v>20600000</v>
      </c>
      <c r="F15">
        <f aca="true" t="shared" si="2" ref="F15:H20">100000*B15/$E15</f>
        <v>0.03969993145631067</v>
      </c>
      <c r="G15">
        <f t="shared" si="2"/>
        <v>0.05889522058252426</v>
      </c>
      <c r="H15">
        <f t="shared" si="2"/>
        <v>0.09116264708737862</v>
      </c>
      <c r="J15" t="s">
        <v>137</v>
      </c>
      <c r="K15" s="92">
        <f>SUM(B15:B16)</f>
        <v>45.19679353199999</v>
      </c>
      <c r="L15" s="92">
        <f>SUM(C15:C16)</f>
        <v>67.049867016</v>
      </c>
      <c r="M15" s="92">
        <f>SUM(D15:D16)</f>
        <v>103.78504917</v>
      </c>
      <c r="N15" s="92">
        <f>SUM(E15:E16)</f>
        <v>73800000</v>
      </c>
      <c r="O15">
        <f>K15*100000/$N15</f>
        <v>0.06124226765853657</v>
      </c>
      <c r="P15">
        <f aca="true" t="shared" si="3" ref="P15:Q17">L15*100000/$N15</f>
        <v>0.0908534783414634</v>
      </c>
      <c r="Q15">
        <f t="shared" si="3"/>
        <v>0.14063014792682926</v>
      </c>
      <c r="S15" s="255">
        <f>M15/cases!$M15</f>
        <v>0.00039791306646055067</v>
      </c>
      <c r="T15" s="255">
        <f>L15/cases!$L15</f>
        <v>0.0004817525603660583</v>
      </c>
      <c r="U15" s="255">
        <f>K15/cases!$K15</f>
        <v>0.0005413919795805678</v>
      </c>
    </row>
    <row r="16" spans="1:21" ht="12.75">
      <c r="A16" t="s">
        <v>205</v>
      </c>
      <c r="B16" s="90">
        <f>B5*Sheet1!$D20</f>
        <v>37.01860765199999</v>
      </c>
      <c r="C16" s="90">
        <f>C5*Sheet1!$D20</f>
        <v>54.91745157599999</v>
      </c>
      <c r="D16" s="90">
        <f>D5*Sheet1!$D20</f>
        <v>85.00554387</v>
      </c>
      <c r="E16" s="91">
        <v>53200000</v>
      </c>
      <c r="F16">
        <f t="shared" si="2"/>
        <v>0.0695838489699248</v>
      </c>
      <c r="G16">
        <f t="shared" si="2"/>
        <v>0.1032282924360902</v>
      </c>
      <c r="H16">
        <f t="shared" si="2"/>
        <v>0.15978485689849625</v>
      </c>
      <c r="J16" t="s">
        <v>139</v>
      </c>
      <c r="K16" s="92">
        <f>SUM(B17:B19)</f>
        <v>345.979347732</v>
      </c>
      <c r="L16" s="92">
        <f>SUM(C17:C19)</f>
        <v>513.2636066160001</v>
      </c>
      <c r="M16" s="92">
        <f>SUM(D17:D19)</f>
        <v>794.46971367</v>
      </c>
      <c r="N16" s="92">
        <f>SUM(E17:E19)</f>
        <v>187100000</v>
      </c>
      <c r="O16">
        <f>K16*100000/$N16</f>
        <v>0.18491680798075893</v>
      </c>
      <c r="P16">
        <f t="shared" si="3"/>
        <v>0.27432581860823096</v>
      </c>
      <c r="Q16">
        <f t="shared" si="3"/>
        <v>0.42462304311598076</v>
      </c>
      <c r="S16" s="255">
        <f>M16/cases!$M16</f>
        <v>0.0016959625413596885</v>
      </c>
      <c r="T16" s="255">
        <f>L16/cases!$L16</f>
        <v>0.002053298070747229</v>
      </c>
      <c r="U16" s="255">
        <f>K16/cases!$K16</f>
        <v>0.0023074891581277897</v>
      </c>
    </row>
    <row r="17" spans="1:21" ht="12.75">
      <c r="A17" t="s">
        <v>206</v>
      </c>
      <c r="B17" s="90">
        <f>B6*Sheet1!$D21</f>
        <v>27.365776452</v>
      </c>
      <c r="C17" s="90">
        <f>C6*Sheet1!$D21</f>
        <v>40.59738597599999</v>
      </c>
      <c r="D17" s="90">
        <f>D6*Sheet1!$D21</f>
        <v>62.839821869999994</v>
      </c>
      <c r="E17" s="91">
        <v>29225000</v>
      </c>
      <c r="F17">
        <f t="shared" si="2"/>
        <v>0.0936382427784431</v>
      </c>
      <c r="G17">
        <f t="shared" si="2"/>
        <v>0.1389132112095808</v>
      </c>
      <c r="H17">
        <f t="shared" si="2"/>
        <v>0.2150207762874251</v>
      </c>
      <c r="J17" t="s">
        <v>140</v>
      </c>
      <c r="K17" s="92">
        <f>B20</f>
        <v>42.385615200000004</v>
      </c>
      <c r="L17" s="92">
        <f>C20</f>
        <v>62.879457599999995</v>
      </c>
      <c r="M17" s="92">
        <f>D20</f>
        <v>97.329762</v>
      </c>
      <c r="N17" s="92">
        <f>E20</f>
        <v>36200000</v>
      </c>
      <c r="O17">
        <f>K17*100000/$N17</f>
        <v>0.11708733480662985</v>
      </c>
      <c r="P17">
        <f t="shared" si="3"/>
        <v>0.1737001591160221</v>
      </c>
      <c r="Q17">
        <f t="shared" si="3"/>
        <v>0.2688667458563536</v>
      </c>
      <c r="S17" s="255">
        <f>M17/cases!$M17</f>
        <v>0.0024974803484200826</v>
      </c>
      <c r="T17" s="255">
        <f>L17/cases!$L17</f>
        <v>0.003023703004791726</v>
      </c>
      <c r="U17" s="255">
        <f>K17/cases!$K17</f>
        <v>0.003397980093119174</v>
      </c>
    </row>
    <row r="18" spans="1:8" ht="12.75">
      <c r="A18" t="s">
        <v>207</v>
      </c>
      <c r="B18" s="90">
        <f>B7*Sheet1!$D22</f>
        <v>202.54913136</v>
      </c>
      <c r="C18" s="90">
        <f>C7*Sheet1!$D22</f>
        <v>300.48353568</v>
      </c>
      <c r="D18" s="90">
        <f>D7*Sheet1!$D22</f>
        <v>465.1120116</v>
      </c>
      <c r="E18" s="91">
        <v>104375000</v>
      </c>
      <c r="F18">
        <f t="shared" si="2"/>
        <v>0.19405904800958085</v>
      </c>
      <c r="G18">
        <f t="shared" si="2"/>
        <v>0.28788841741796406</v>
      </c>
      <c r="H18">
        <f t="shared" si="2"/>
        <v>0.4456162985389222</v>
      </c>
    </row>
    <row r="19" spans="1:8" ht="12.75">
      <c r="A19" t="s">
        <v>296</v>
      </c>
      <c r="B19" s="90">
        <f>B8*Sheet1!$D23</f>
        <v>116.06443992000001</v>
      </c>
      <c r="C19" s="90">
        <f>C8*Sheet1!$D23</f>
        <v>172.18268496000002</v>
      </c>
      <c r="D19" s="90">
        <f>D8*Sheet1!$D23</f>
        <v>266.51788020000004</v>
      </c>
      <c r="E19" s="91">
        <v>53500000</v>
      </c>
      <c r="F19">
        <f t="shared" si="2"/>
        <v>0.2169428783551402</v>
      </c>
      <c r="G19">
        <f t="shared" si="2"/>
        <v>0.3218367943177571</v>
      </c>
      <c r="H19">
        <f t="shared" si="2"/>
        <v>0.49816426205607484</v>
      </c>
    </row>
    <row r="20" spans="1:8" ht="12.75">
      <c r="A20" t="s">
        <v>159</v>
      </c>
      <c r="B20" s="90">
        <f>B9*Sheet1!$D24</f>
        <v>42.385615200000004</v>
      </c>
      <c r="C20" s="90">
        <f>C9*Sheet1!$D24</f>
        <v>62.879457599999995</v>
      </c>
      <c r="D20" s="90">
        <f>D9*Sheet1!$D24</f>
        <v>97.329762</v>
      </c>
      <c r="E20" s="91">
        <v>36200000</v>
      </c>
      <c r="F20">
        <f t="shared" si="2"/>
        <v>0.11708733480662985</v>
      </c>
      <c r="G20">
        <f t="shared" si="2"/>
        <v>0.1737001591160221</v>
      </c>
      <c r="H20">
        <f t="shared" si="2"/>
        <v>0.2688667458563536</v>
      </c>
    </row>
    <row r="21" spans="2:5" ht="12.75">
      <c r="B21" s="90"/>
      <c r="C21" s="90"/>
      <c r="D21" s="90"/>
      <c r="E21" s="90"/>
    </row>
    <row r="22" spans="2:5" ht="12.75">
      <c r="B22" s="90"/>
      <c r="C22" s="90"/>
      <c r="D22" s="90"/>
      <c r="E22" s="90"/>
    </row>
    <row r="23" ht="12.75">
      <c r="A23" t="s">
        <v>220</v>
      </c>
    </row>
    <row r="24" spans="2:21" ht="12.75">
      <c r="B24" s="412" t="s">
        <v>188</v>
      </c>
      <c r="C24" s="412"/>
      <c r="D24" s="412"/>
      <c r="E24" s="88"/>
      <c r="F24" s="412" t="s">
        <v>199</v>
      </c>
      <c r="G24" s="412"/>
      <c r="H24" s="412"/>
      <c r="J24" t="s">
        <v>114</v>
      </c>
      <c r="K24" s="412" t="s">
        <v>221</v>
      </c>
      <c r="L24" s="412"/>
      <c r="M24" s="412"/>
      <c r="N24" s="59" t="s">
        <v>200</v>
      </c>
      <c r="O24" s="412" t="s">
        <v>199</v>
      </c>
      <c r="P24" s="412"/>
      <c r="Q24" s="412"/>
      <c r="R24" s="148"/>
      <c r="S24" s="413" t="s">
        <v>217</v>
      </c>
      <c r="T24" s="413"/>
      <c r="U24" s="413"/>
    </row>
    <row r="25" spans="2:21" ht="12.75">
      <c r="B25" s="59" t="s">
        <v>201</v>
      </c>
      <c r="C25" s="59" t="s">
        <v>202</v>
      </c>
      <c r="D25" s="59" t="s">
        <v>203</v>
      </c>
      <c r="E25" s="91"/>
      <c r="F25" s="59" t="s">
        <v>201</v>
      </c>
      <c r="G25" s="59" t="s">
        <v>202</v>
      </c>
      <c r="H25" s="59" t="s">
        <v>203</v>
      </c>
      <c r="K25" s="59" t="s">
        <v>201</v>
      </c>
      <c r="L25" s="59" t="s">
        <v>202</v>
      </c>
      <c r="M25" s="59" t="s">
        <v>203</v>
      </c>
      <c r="N25" s="59"/>
      <c r="O25" s="59" t="s">
        <v>201</v>
      </c>
      <c r="P25" s="59" t="s">
        <v>202</v>
      </c>
      <c r="Q25" s="59" t="s">
        <v>203</v>
      </c>
      <c r="R25" s="148"/>
      <c r="S25" s="59" t="s">
        <v>201</v>
      </c>
      <c r="T25" s="59" t="s">
        <v>202</v>
      </c>
      <c r="U25" s="59" t="s">
        <v>203</v>
      </c>
    </row>
    <row r="26" spans="1:21" ht="12.75">
      <c r="A26" t="s">
        <v>204</v>
      </c>
      <c r="B26" s="90">
        <f aca="true" t="shared" si="4" ref="B26:D31">B4-B15</f>
        <v>5.68314612</v>
      </c>
      <c r="C26" s="90">
        <f t="shared" si="4"/>
        <v>8.43100056</v>
      </c>
      <c r="D26" s="90">
        <f t="shared" si="4"/>
        <v>13.0501647</v>
      </c>
      <c r="E26" s="91">
        <v>20600000</v>
      </c>
      <c r="F26">
        <f aca="true" t="shared" si="5" ref="F26:H31">100000*B26/$E26</f>
        <v>0.027588087961165048</v>
      </c>
      <c r="G26">
        <f t="shared" si="5"/>
        <v>0.040927187184466016</v>
      </c>
      <c r="H26">
        <f t="shared" si="5"/>
        <v>0.0633503140776699</v>
      </c>
      <c r="J26" t="s">
        <v>137</v>
      </c>
      <c r="K26" s="92">
        <f>SUM(B26:B27)</f>
        <v>31.407941268</v>
      </c>
      <c r="L26" s="92">
        <f>SUM(C26:C27)</f>
        <v>46.593975384000004</v>
      </c>
      <c r="M26" s="92">
        <f>SUM(D26:D27)</f>
        <v>72.12181383</v>
      </c>
      <c r="N26" s="92">
        <f>SUM(E26:E27)</f>
        <v>73800000</v>
      </c>
      <c r="O26">
        <f>K26*100000/$N26</f>
        <v>0.042558186</v>
      </c>
      <c r="P26">
        <f aca="true" t="shared" si="6" ref="P26:Q28">L26*100000/$N26</f>
        <v>0.063135468</v>
      </c>
      <c r="Q26">
        <f t="shared" si="6"/>
        <v>0.09772603499999999</v>
      </c>
      <c r="S26" s="255">
        <f>M26/cases!$M26</f>
        <v>2.6706583779116205E-05</v>
      </c>
      <c r="T26" s="255">
        <f>L26/cases!$L26</f>
        <v>3.233360801308448E-05</v>
      </c>
      <c r="U26" s="255">
        <f>K26/cases!$K26</f>
        <v>3.6336404804750124E-05</v>
      </c>
    </row>
    <row r="27" spans="1:21" ht="12.75">
      <c r="A27" t="s">
        <v>205</v>
      </c>
      <c r="B27" s="90">
        <f t="shared" si="4"/>
        <v>25.724795148</v>
      </c>
      <c r="C27" s="90">
        <f t="shared" si="4"/>
        <v>38.162974824</v>
      </c>
      <c r="D27" s="90">
        <f t="shared" si="4"/>
        <v>59.07164913</v>
      </c>
      <c r="E27" s="91">
        <v>53200000</v>
      </c>
      <c r="F27">
        <f t="shared" si="5"/>
        <v>0.04835487809774436</v>
      </c>
      <c r="G27">
        <f t="shared" si="5"/>
        <v>0.07173491508270677</v>
      </c>
      <c r="H27">
        <f t="shared" si="5"/>
        <v>0.11103693445488722</v>
      </c>
      <c r="J27" t="s">
        <v>139</v>
      </c>
      <c r="K27" s="92">
        <f>SUM(B28:B30)</f>
        <v>81.15564946799996</v>
      </c>
      <c r="L27" s="92">
        <f>SUM(C28:C30)</f>
        <v>120.39516698399993</v>
      </c>
      <c r="M27" s="92">
        <f>SUM(D28:D30)</f>
        <v>186.35709332999994</v>
      </c>
      <c r="N27" s="92">
        <f>SUM(E28:E30)</f>
        <v>187100000</v>
      </c>
      <c r="O27">
        <f>K27*100000/$N27</f>
        <v>0.043375547551042205</v>
      </c>
      <c r="P27">
        <f t="shared" si="6"/>
        <v>0.06434803152538746</v>
      </c>
      <c r="Q27">
        <f t="shared" si="6"/>
        <v>0.099602936039551</v>
      </c>
      <c r="S27" s="255">
        <f>M27/cases!$M27</f>
        <v>8.42529846276126E-05</v>
      </c>
      <c r="T27" s="255">
        <f>L27/cases!$L27</f>
        <v>0.000102004900799211</v>
      </c>
      <c r="U27" s="255">
        <f>K27/cases!$K27</f>
        <v>0.00011463274914801982</v>
      </c>
    </row>
    <row r="28" spans="1:21" ht="12.75">
      <c r="A28" t="s">
        <v>206</v>
      </c>
      <c r="B28" s="90">
        <f t="shared" si="4"/>
        <v>6.419132747999996</v>
      </c>
      <c r="C28" s="90">
        <f t="shared" si="4"/>
        <v>9.522843623999997</v>
      </c>
      <c r="D28" s="90">
        <f t="shared" si="4"/>
        <v>14.740205129999993</v>
      </c>
      <c r="E28" s="91">
        <v>29225000</v>
      </c>
      <c r="F28">
        <f t="shared" si="5"/>
        <v>0.02196452608383232</v>
      </c>
      <c r="G28">
        <f t="shared" si="5"/>
        <v>0.032584580407185613</v>
      </c>
      <c r="H28">
        <f t="shared" si="5"/>
        <v>0.05043697221556884</v>
      </c>
      <c r="J28" t="s">
        <v>140</v>
      </c>
      <c r="K28" s="92">
        <f>B31</f>
        <v>9.942304799999995</v>
      </c>
      <c r="L28" s="92">
        <f>C31</f>
        <v>14.749502399999997</v>
      </c>
      <c r="M28" s="92">
        <f>D31</f>
        <v>22.830437999999987</v>
      </c>
      <c r="N28" s="92">
        <f>E31</f>
        <v>36200000</v>
      </c>
      <c r="O28">
        <f>K28*100000/$N28</f>
        <v>0.02746493038674032</v>
      </c>
      <c r="P28">
        <f t="shared" si="6"/>
        <v>0.040744481767955795</v>
      </c>
      <c r="Q28">
        <f t="shared" si="6"/>
        <v>0.06306750828729278</v>
      </c>
      <c r="S28" s="255">
        <f>M28/cases!$M28</f>
        <v>0.0005667256131479275</v>
      </c>
      <c r="T28" s="255">
        <f>L28/cases!$L28</f>
        <v>0.0006861355047105217</v>
      </c>
      <c r="U28" s="255">
        <f>K28/cases!$K28</f>
        <v>0.0007710660678293773</v>
      </c>
    </row>
    <row r="29" spans="1:8" ht="12.75">
      <c r="A29" t="s">
        <v>207</v>
      </c>
      <c r="B29" s="90">
        <f t="shared" si="4"/>
        <v>47.511524639999976</v>
      </c>
      <c r="C29" s="90">
        <f t="shared" si="4"/>
        <v>70.48379231999996</v>
      </c>
      <c r="D29" s="90">
        <f t="shared" si="4"/>
        <v>109.10034839999997</v>
      </c>
      <c r="E29" s="91">
        <v>104375000</v>
      </c>
      <c r="F29">
        <f t="shared" si="5"/>
        <v>0.04552002360718561</v>
      </c>
      <c r="G29">
        <f t="shared" si="5"/>
        <v>0.06752938186347301</v>
      </c>
      <c r="H29">
        <f t="shared" si="5"/>
        <v>0.1045272799041916</v>
      </c>
    </row>
    <row r="30" spans="1:8" ht="12.75">
      <c r="A30" t="s">
        <v>296</v>
      </c>
      <c r="B30" s="90">
        <f t="shared" si="4"/>
        <v>27.224992079999993</v>
      </c>
      <c r="C30" s="90">
        <f t="shared" si="4"/>
        <v>40.388531039999975</v>
      </c>
      <c r="D30" s="90">
        <f t="shared" si="4"/>
        <v>62.516539799999975</v>
      </c>
      <c r="E30" s="91">
        <v>53500000</v>
      </c>
      <c r="F30">
        <f t="shared" si="5"/>
        <v>0.05088783566355139</v>
      </c>
      <c r="G30">
        <f t="shared" si="5"/>
        <v>0.07549258138317752</v>
      </c>
      <c r="H30">
        <f t="shared" si="5"/>
        <v>0.11685334542056071</v>
      </c>
    </row>
    <row r="31" spans="1:8" ht="12.75">
      <c r="A31" t="s">
        <v>159</v>
      </c>
      <c r="B31" s="90">
        <f t="shared" si="4"/>
        <v>9.942304799999995</v>
      </c>
      <c r="C31" s="90">
        <f t="shared" si="4"/>
        <v>14.749502399999997</v>
      </c>
      <c r="D31" s="90">
        <f t="shared" si="4"/>
        <v>22.830437999999987</v>
      </c>
      <c r="E31" s="91">
        <v>36200000</v>
      </c>
      <c r="F31">
        <f t="shared" si="5"/>
        <v>0.02746493038674032</v>
      </c>
      <c r="G31">
        <f t="shared" si="5"/>
        <v>0.040744481767955795</v>
      </c>
      <c r="H31">
        <f t="shared" si="5"/>
        <v>0.06306750828729278</v>
      </c>
    </row>
    <row r="32" spans="2:5" ht="12.75">
      <c r="B32" s="90"/>
      <c r="C32" s="90"/>
      <c r="D32" s="90"/>
      <c r="E32" s="90"/>
    </row>
    <row r="33" spans="2:4" ht="12.75">
      <c r="B33" s="234"/>
      <c r="C33" s="90"/>
      <c r="D33" s="90"/>
    </row>
  </sheetData>
  <sheetProtection/>
  <mergeCells count="15">
    <mergeCell ref="K2:M2"/>
    <mergeCell ref="O2:Q2"/>
    <mergeCell ref="S2:U2"/>
    <mergeCell ref="S13:U13"/>
    <mergeCell ref="B24:D24"/>
    <mergeCell ref="F24:H24"/>
    <mergeCell ref="S24:U24"/>
    <mergeCell ref="K13:M13"/>
    <mergeCell ref="O13:Q13"/>
    <mergeCell ref="K24:M24"/>
    <mergeCell ref="O24:Q24"/>
    <mergeCell ref="B2:D2"/>
    <mergeCell ref="F2:H2"/>
    <mergeCell ref="B13:D13"/>
    <mergeCell ref="F13:H13"/>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codeName="Sheet22"/>
  <dimension ref="A1:Y39"/>
  <sheetViews>
    <sheetView workbookViewId="0" topLeftCell="A1">
      <selection activeCell="U4" sqref="U4"/>
    </sheetView>
  </sheetViews>
  <sheetFormatPr defaultColWidth="9.140625" defaultRowHeight="12.75"/>
  <cols>
    <col min="1" max="1" width="14.00390625" style="0" customWidth="1"/>
    <col min="2" max="2" width="11.57421875" style="0" customWidth="1"/>
    <col min="3" max="3" width="12.8515625" style="0" bestFit="1" customWidth="1"/>
    <col min="4" max="4" width="17.140625" style="0" customWidth="1"/>
    <col min="5" max="5" width="20.140625" style="0" hidden="1" customWidth="1"/>
    <col min="6" max="8" width="0" style="0" hidden="1" customWidth="1"/>
    <col min="9" max="9" width="9.140625" style="87" customWidth="1"/>
    <col min="12" max="12" width="10.421875" style="0" customWidth="1"/>
    <col min="13" max="13" width="11.140625" style="0" customWidth="1"/>
    <col min="14" max="14" width="12.421875" style="0" hidden="1" customWidth="1"/>
    <col min="15" max="17" width="0" style="0" hidden="1" customWidth="1"/>
    <col min="18" max="18" width="9.140625" style="147" customWidth="1"/>
    <col min="19" max="21" width="11.7109375" style="0" bestFit="1" customWidth="1"/>
  </cols>
  <sheetData>
    <row r="1" spans="1:5" ht="12.75">
      <c r="A1" t="s">
        <v>114</v>
      </c>
      <c r="E1" t="s">
        <v>198</v>
      </c>
    </row>
    <row r="2" spans="2:21" ht="12.75">
      <c r="B2" s="412" t="s">
        <v>188</v>
      </c>
      <c r="C2" s="412"/>
      <c r="D2" s="412"/>
      <c r="E2" s="88"/>
      <c r="F2" s="412" t="s">
        <v>199</v>
      </c>
      <c r="G2" s="412"/>
      <c r="H2" s="412"/>
      <c r="J2" t="s">
        <v>114</v>
      </c>
      <c r="K2" s="412" t="s">
        <v>188</v>
      </c>
      <c r="L2" s="412"/>
      <c r="M2" s="412"/>
      <c r="N2" s="59" t="s">
        <v>200</v>
      </c>
      <c r="O2" s="412" t="s">
        <v>199</v>
      </c>
      <c r="P2" s="412"/>
      <c r="Q2" s="412"/>
      <c r="R2" s="148"/>
      <c r="S2" s="413" t="s">
        <v>217</v>
      </c>
      <c r="T2" s="413"/>
      <c r="U2" s="413"/>
    </row>
    <row r="3" spans="2:21" ht="12.75">
      <c r="B3" s="59" t="s">
        <v>201</v>
      </c>
      <c r="C3" s="59" t="s">
        <v>202</v>
      </c>
      <c r="D3" s="59" t="s">
        <v>203</v>
      </c>
      <c r="E3" s="89"/>
      <c r="F3" s="59" t="s">
        <v>201</v>
      </c>
      <c r="G3" s="59" t="s">
        <v>202</v>
      </c>
      <c r="H3" s="59" t="s">
        <v>203</v>
      </c>
      <c r="K3" s="59" t="s">
        <v>201</v>
      </c>
      <c r="L3" s="59" t="s">
        <v>202</v>
      </c>
      <c r="M3" s="59" t="s">
        <v>203</v>
      </c>
      <c r="N3" s="59"/>
      <c r="O3" s="59" t="s">
        <v>201</v>
      </c>
      <c r="P3" s="59" t="s">
        <v>202</v>
      </c>
      <c r="Q3" s="59" t="s">
        <v>203</v>
      </c>
      <c r="R3" s="148"/>
      <c r="S3" s="59" t="s">
        <v>201</v>
      </c>
      <c r="T3" s="59" t="s">
        <v>202</v>
      </c>
      <c r="U3" s="59" t="s">
        <v>203</v>
      </c>
    </row>
    <row r="4" spans="1:25" ht="12.75">
      <c r="A4" t="s">
        <v>204</v>
      </c>
      <c r="B4" s="90">
        <f aca="true" t="shared" si="0" ref="B4:B9">C4</f>
        <v>12.5</v>
      </c>
      <c r="C4" s="90">
        <f>B36*(5/18)</f>
        <v>12.5</v>
      </c>
      <c r="D4" s="90">
        <f aca="true" t="shared" si="1" ref="D4:D9">C4</f>
        <v>12.5</v>
      </c>
      <c r="E4" s="91">
        <v>20600000</v>
      </c>
      <c r="F4">
        <f aca="true" t="shared" si="2" ref="F4:H9">100000*B4/$E4</f>
        <v>0.06067961165048544</v>
      </c>
      <c r="G4">
        <f t="shared" si="2"/>
        <v>0.06067961165048544</v>
      </c>
      <c r="H4">
        <f t="shared" si="2"/>
        <v>0.06067961165048544</v>
      </c>
      <c r="J4" t="s">
        <v>137</v>
      </c>
      <c r="K4" s="92">
        <f>SUM(B4:B5)</f>
        <v>45</v>
      </c>
      <c r="L4" s="92">
        <f>SUM(C4:C5)</f>
        <v>45</v>
      </c>
      <c r="M4" s="92">
        <f>SUM(D4:D5)</f>
        <v>45</v>
      </c>
      <c r="N4" s="92">
        <f>SUM(E4:E5)</f>
        <v>73800000</v>
      </c>
      <c r="O4">
        <f aca="true" t="shared" si="3" ref="O4:Q6">K4*100000/$N4</f>
        <v>0.06097560975609756</v>
      </c>
      <c r="P4">
        <f t="shared" si="3"/>
        <v>0.06097560975609756</v>
      </c>
      <c r="Q4">
        <f t="shared" si="3"/>
        <v>0.06097560975609756</v>
      </c>
      <c r="S4" s="321">
        <f>M4/cases!$M4</f>
        <v>1.5195777073290295E-05</v>
      </c>
      <c r="T4" s="321">
        <f>L4/cases!$L4</f>
        <v>2.8477090750033412E-05</v>
      </c>
      <c r="U4" s="321">
        <f>K4/cases!$K4</f>
        <v>4.7475954088642355E-05</v>
      </c>
      <c r="W4" s="335">
        <v>1.899472134161287E-05</v>
      </c>
      <c r="X4" s="335">
        <v>2.8477090750033412E-05</v>
      </c>
      <c r="Y4" s="335">
        <v>3.560696556648177E-05</v>
      </c>
    </row>
    <row r="5" spans="1:25" ht="12.75">
      <c r="A5" t="s">
        <v>205</v>
      </c>
      <c r="B5" s="90">
        <f t="shared" si="0"/>
        <v>32.5</v>
      </c>
      <c r="C5" s="90">
        <f>B36*(13/18)</f>
        <v>32.5</v>
      </c>
      <c r="D5" s="90">
        <f t="shared" si="1"/>
        <v>32.5</v>
      </c>
      <c r="E5" s="91">
        <v>53200000</v>
      </c>
      <c r="F5">
        <f t="shared" si="2"/>
        <v>0.06109022556390977</v>
      </c>
      <c r="G5">
        <f t="shared" si="2"/>
        <v>0.06109022556390977</v>
      </c>
      <c r="H5">
        <f t="shared" si="2"/>
        <v>0.06109022556390977</v>
      </c>
      <c r="J5" t="s">
        <v>139</v>
      </c>
      <c r="K5" s="92">
        <f>SUM(B6:B8)</f>
        <v>287</v>
      </c>
      <c r="L5" s="92">
        <f>SUM(C6:C8)</f>
        <v>287</v>
      </c>
      <c r="M5" s="92">
        <f>SUM(D6:D8)</f>
        <v>287</v>
      </c>
      <c r="N5" s="92">
        <f>SUM(E6:E8)</f>
        <v>187100000</v>
      </c>
      <c r="O5">
        <f t="shared" si="3"/>
        <v>0.1533939070016034</v>
      </c>
      <c r="P5">
        <f t="shared" si="3"/>
        <v>0.1533939070016034</v>
      </c>
      <c r="Q5">
        <f t="shared" si="3"/>
        <v>0.1533939070016034</v>
      </c>
      <c r="S5" s="321">
        <f>M5/cases!$M5</f>
        <v>0.00010707664910304931</v>
      </c>
      <c r="T5" s="321">
        <f>L5/cases!$L5</f>
        <v>0.00020066304102811075</v>
      </c>
      <c r="U5" s="321">
        <f>K5/cases!$K5</f>
        <v>0.00033453792240876627</v>
      </c>
      <c r="W5" s="335">
        <v>0.00013384581137881164</v>
      </c>
      <c r="X5" s="335">
        <v>0.00020066304102811075</v>
      </c>
      <c r="Y5" s="335">
        <v>0.00025090344180657474</v>
      </c>
    </row>
    <row r="6" spans="1:25" ht="12.75">
      <c r="A6" t="s">
        <v>206</v>
      </c>
      <c r="B6" s="90">
        <f t="shared" si="0"/>
        <v>42.744680851063826</v>
      </c>
      <c r="C6" s="90">
        <f>(7/47)*B37</f>
        <v>42.744680851063826</v>
      </c>
      <c r="D6" s="90">
        <f t="shared" si="1"/>
        <v>42.744680851063826</v>
      </c>
      <c r="E6" s="91">
        <v>29225000</v>
      </c>
      <c r="F6">
        <f t="shared" si="2"/>
        <v>0.14626067014906358</v>
      </c>
      <c r="G6">
        <f t="shared" si="2"/>
        <v>0.14626067014906358</v>
      </c>
      <c r="H6">
        <f t="shared" si="2"/>
        <v>0.14626067014906358</v>
      </c>
      <c r="J6" t="s">
        <v>140</v>
      </c>
      <c r="K6" s="92">
        <f>B9</f>
        <v>31</v>
      </c>
      <c r="L6" s="92">
        <f>C9</f>
        <v>31</v>
      </c>
      <c r="M6" s="92">
        <f>D9</f>
        <v>31</v>
      </c>
      <c r="N6" s="92">
        <f>E9</f>
        <v>36200000</v>
      </c>
      <c r="O6">
        <f t="shared" si="3"/>
        <v>0.0856353591160221</v>
      </c>
      <c r="P6">
        <f t="shared" si="3"/>
        <v>0.0856353591160221</v>
      </c>
      <c r="Q6">
        <f t="shared" si="3"/>
        <v>0.0856353591160221</v>
      </c>
      <c r="S6" s="321">
        <f>M6/cases!$M6</f>
        <v>0.00039113757948925005</v>
      </c>
      <c r="T6" s="321">
        <f>L6/cases!$L6</f>
        <v>0.0007329991487751821</v>
      </c>
      <c r="U6" s="321">
        <f>K6/cases!$K6</f>
        <v>0.0012220119836013877</v>
      </c>
      <c r="W6" s="335">
        <v>0.0004889219743615625</v>
      </c>
      <c r="X6" s="335">
        <v>0.0007329991487751821</v>
      </c>
      <c r="Y6" s="335">
        <v>0.0009165089877010407</v>
      </c>
    </row>
    <row r="7" spans="1:21" ht="12.75">
      <c r="A7" t="s">
        <v>207</v>
      </c>
      <c r="B7" s="90">
        <f t="shared" si="0"/>
        <v>152.6595744680851</v>
      </c>
      <c r="C7" s="94">
        <f>(25/47)*B37</f>
        <v>152.6595744680851</v>
      </c>
      <c r="D7" s="90">
        <f t="shared" si="1"/>
        <v>152.6595744680851</v>
      </c>
      <c r="E7" s="91">
        <v>104375000</v>
      </c>
      <c r="F7">
        <f t="shared" si="2"/>
        <v>0.14626067014906358</v>
      </c>
      <c r="G7">
        <f t="shared" si="2"/>
        <v>0.14626067014906358</v>
      </c>
      <c r="H7">
        <f t="shared" si="2"/>
        <v>0.14626067014906358</v>
      </c>
      <c r="S7" s="322"/>
      <c r="T7" s="322">
        <f>C10/cases!C10</f>
        <v>0.00011890847912451912</v>
      </c>
      <c r="U7" s="322"/>
    </row>
    <row r="8" spans="1:8" ht="12.75">
      <c r="A8" t="s">
        <v>296</v>
      </c>
      <c r="B8" s="90">
        <f t="shared" si="0"/>
        <v>91.59574468085107</v>
      </c>
      <c r="C8" s="94">
        <f>(15/47)*B37</f>
        <v>91.59574468085107</v>
      </c>
      <c r="D8" s="90">
        <f t="shared" si="1"/>
        <v>91.59574468085107</v>
      </c>
      <c r="E8" s="91">
        <v>53500000</v>
      </c>
      <c r="F8">
        <f t="shared" si="2"/>
        <v>0.17120699940345993</v>
      </c>
      <c r="G8">
        <f t="shared" si="2"/>
        <v>0.17120699940345993</v>
      </c>
      <c r="H8">
        <f t="shared" si="2"/>
        <v>0.17120699940345993</v>
      </c>
    </row>
    <row r="9" spans="1:8" ht="12.75">
      <c r="A9" t="s">
        <v>159</v>
      </c>
      <c r="B9" s="90">
        <f t="shared" si="0"/>
        <v>31</v>
      </c>
      <c r="C9" s="94">
        <f>B38</f>
        <v>31</v>
      </c>
      <c r="D9" s="90">
        <f t="shared" si="1"/>
        <v>31</v>
      </c>
      <c r="E9" s="91">
        <v>36200000</v>
      </c>
      <c r="F9">
        <f t="shared" si="2"/>
        <v>0.0856353591160221</v>
      </c>
      <c r="G9">
        <f t="shared" si="2"/>
        <v>0.0856353591160221</v>
      </c>
      <c r="H9">
        <f t="shared" si="2"/>
        <v>0.0856353591160221</v>
      </c>
    </row>
    <row r="10" spans="2:5" ht="12.75">
      <c r="B10" s="90"/>
      <c r="C10" s="90">
        <f>SUM(C4:C9)</f>
        <v>363</v>
      </c>
      <c r="D10" s="90">
        <f>SUM(D4:D9)</f>
        <v>363</v>
      </c>
      <c r="E10" s="90"/>
    </row>
    <row r="11" spans="2:5" ht="12.75">
      <c r="B11" s="90"/>
      <c r="C11" s="90"/>
      <c r="D11" s="90"/>
      <c r="E11" s="90"/>
    </row>
    <row r="12" spans="1:5" ht="12.75">
      <c r="A12" t="s">
        <v>218</v>
      </c>
      <c r="E12" t="s">
        <v>198</v>
      </c>
    </row>
    <row r="13" spans="2:21" ht="12.75">
      <c r="B13" s="412" t="s">
        <v>188</v>
      </c>
      <c r="C13" s="412"/>
      <c r="D13" s="412"/>
      <c r="E13" s="88"/>
      <c r="F13" s="412" t="s">
        <v>199</v>
      </c>
      <c r="G13" s="412"/>
      <c r="H13" s="412"/>
      <c r="J13" t="s">
        <v>114</v>
      </c>
      <c r="K13" s="412" t="s">
        <v>219</v>
      </c>
      <c r="L13" s="412"/>
      <c r="M13" s="412"/>
      <c r="N13" s="59" t="s">
        <v>200</v>
      </c>
      <c r="O13" s="412" t="s">
        <v>199</v>
      </c>
      <c r="P13" s="412"/>
      <c r="Q13" s="412"/>
      <c r="R13" s="148"/>
      <c r="S13" s="413" t="s">
        <v>217</v>
      </c>
      <c r="T13" s="413"/>
      <c r="U13" s="413"/>
    </row>
    <row r="14" spans="2:21" ht="12.75">
      <c r="B14" s="59" t="s">
        <v>201</v>
      </c>
      <c r="C14" s="59" t="s">
        <v>202</v>
      </c>
      <c r="D14" s="59" t="s">
        <v>203</v>
      </c>
      <c r="E14" s="91"/>
      <c r="F14" s="59" t="s">
        <v>201</v>
      </c>
      <c r="G14" s="59" t="s">
        <v>202</v>
      </c>
      <c r="H14" s="59" t="s">
        <v>203</v>
      </c>
      <c r="K14" s="59" t="s">
        <v>201</v>
      </c>
      <c r="L14" s="59" t="s">
        <v>202</v>
      </c>
      <c r="M14" s="59" t="s">
        <v>203</v>
      </c>
      <c r="N14" s="59"/>
      <c r="O14" s="59" t="s">
        <v>201</v>
      </c>
      <c r="P14" s="59" t="s">
        <v>202</v>
      </c>
      <c r="Q14" s="59" t="s">
        <v>203</v>
      </c>
      <c r="R14" s="148"/>
      <c r="S14" s="59" t="s">
        <v>201</v>
      </c>
      <c r="T14" s="59" t="s">
        <v>202</v>
      </c>
      <c r="U14" s="59" t="s">
        <v>203</v>
      </c>
    </row>
    <row r="15" spans="1:21" ht="12.75">
      <c r="A15" t="s">
        <v>204</v>
      </c>
      <c r="B15" s="90">
        <f>B4*Sheet1!$D19</f>
        <v>7.375</v>
      </c>
      <c r="C15" s="90">
        <f>C4*Sheet1!$D19</f>
        <v>7.375</v>
      </c>
      <c r="D15" s="90">
        <f>D4*Sheet1!$D19</f>
        <v>7.375</v>
      </c>
      <c r="E15" s="91">
        <v>20600000</v>
      </c>
      <c r="F15">
        <f aca="true" t="shared" si="4" ref="F15:H20">100000*B15/$E15</f>
        <v>0.035800970873786406</v>
      </c>
      <c r="G15">
        <f t="shared" si="4"/>
        <v>0.035800970873786406</v>
      </c>
      <c r="H15">
        <f t="shared" si="4"/>
        <v>0.035800970873786406</v>
      </c>
      <c r="J15" t="s">
        <v>137</v>
      </c>
      <c r="K15" s="92">
        <f>SUM(B15:B16)</f>
        <v>26.55</v>
      </c>
      <c r="L15" s="92">
        <f>SUM(C15:C16)</f>
        <v>26.55</v>
      </c>
      <c r="M15" s="92">
        <f>SUM(D15:D16)</f>
        <v>26.55</v>
      </c>
      <c r="N15" s="92">
        <f>SUM(E15:E16)</f>
        <v>73800000</v>
      </c>
      <c r="O15">
        <f aca="true" t="shared" si="5" ref="O15:Q17">K15*100000/$N15</f>
        <v>0.03597560975609756</v>
      </c>
      <c r="P15">
        <f t="shared" si="5"/>
        <v>0.03597560975609756</v>
      </c>
      <c r="Q15">
        <f t="shared" si="5"/>
        <v>0.03597560975609756</v>
      </c>
      <c r="S15" s="255">
        <f>M15/cases!$M15</f>
        <v>0.00010179300389618557</v>
      </c>
      <c r="T15" s="255">
        <f>L15/cases!$L15</f>
        <v>0.00019076145929814695</v>
      </c>
      <c r="U15" s="255">
        <f>K15/cases!$K15</f>
        <v>0.00031803046045041013</v>
      </c>
    </row>
    <row r="16" spans="1:21" ht="12.75">
      <c r="A16" t="s">
        <v>205</v>
      </c>
      <c r="B16" s="90">
        <f>B5*Sheet1!$D20</f>
        <v>19.175</v>
      </c>
      <c r="C16" s="90">
        <f>C5*Sheet1!$D20</f>
        <v>19.175</v>
      </c>
      <c r="D16" s="90">
        <f>D5*Sheet1!$D20</f>
        <v>19.175</v>
      </c>
      <c r="E16" s="91">
        <v>53200000</v>
      </c>
      <c r="F16">
        <f t="shared" si="4"/>
        <v>0.036043233082706766</v>
      </c>
      <c r="G16">
        <f t="shared" si="4"/>
        <v>0.036043233082706766</v>
      </c>
      <c r="H16">
        <f t="shared" si="4"/>
        <v>0.036043233082706766</v>
      </c>
      <c r="J16" t="s">
        <v>139</v>
      </c>
      <c r="K16" s="92">
        <f>SUM(B17:B19)</f>
        <v>232.47000000000003</v>
      </c>
      <c r="L16" s="92">
        <f>SUM(C17:C19)</f>
        <v>232.47000000000003</v>
      </c>
      <c r="M16" s="92">
        <f>SUM(D17:D19)</f>
        <v>232.47000000000003</v>
      </c>
      <c r="N16" s="92">
        <f>SUM(E17:E19)</f>
        <v>187100000</v>
      </c>
      <c r="O16">
        <f t="shared" si="5"/>
        <v>0.12424906467129879</v>
      </c>
      <c r="P16">
        <f t="shared" si="5"/>
        <v>0.12424906467129879</v>
      </c>
      <c r="Q16">
        <f t="shared" si="5"/>
        <v>0.12424906467129879</v>
      </c>
      <c r="S16" s="255">
        <f>M16/cases!$M16</f>
        <v>0.0004962560626365819</v>
      </c>
      <c r="T16" s="255">
        <f>L16/cases!$L16</f>
        <v>0.0009299903526254193</v>
      </c>
      <c r="U16" s="255">
        <f>K16/cases!$K16</f>
        <v>0.0015504451583783164</v>
      </c>
    </row>
    <row r="17" spans="1:21" ht="12.75">
      <c r="A17" t="s">
        <v>206</v>
      </c>
      <c r="B17" s="90">
        <f>B6*Sheet1!$D21</f>
        <v>34.6231914893617</v>
      </c>
      <c r="C17" s="90">
        <f>C6*Sheet1!$D21</f>
        <v>34.6231914893617</v>
      </c>
      <c r="D17" s="90">
        <f>D6*Sheet1!$D21</f>
        <v>34.6231914893617</v>
      </c>
      <c r="E17" s="91">
        <v>29225000</v>
      </c>
      <c r="F17">
        <f t="shared" si="4"/>
        <v>0.11847114282074149</v>
      </c>
      <c r="G17">
        <f t="shared" si="4"/>
        <v>0.11847114282074149</v>
      </c>
      <c r="H17">
        <f t="shared" si="4"/>
        <v>0.11847114282074149</v>
      </c>
      <c r="J17" t="s">
        <v>140</v>
      </c>
      <c r="K17" s="92">
        <f>B20</f>
        <v>25.110000000000003</v>
      </c>
      <c r="L17" s="92">
        <f>C20</f>
        <v>25.110000000000003</v>
      </c>
      <c r="M17" s="92">
        <f>D20</f>
        <v>25.110000000000003</v>
      </c>
      <c r="N17" s="92">
        <f>E20</f>
        <v>36200000</v>
      </c>
      <c r="O17">
        <f t="shared" si="5"/>
        <v>0.06936464088397791</v>
      </c>
      <c r="P17">
        <f t="shared" si="5"/>
        <v>0.06936464088397791</v>
      </c>
      <c r="Q17">
        <f t="shared" si="5"/>
        <v>0.06936464088397791</v>
      </c>
      <c r="S17" s="255">
        <f>M17/cases!$M17</f>
        <v>0.0006443222531339208</v>
      </c>
      <c r="T17" s="255">
        <f>L17/cases!$L17</f>
        <v>0.0012074719685610052</v>
      </c>
      <c r="U17" s="255">
        <f>K17/cases!$K17</f>
        <v>0.0020130244597280837</v>
      </c>
    </row>
    <row r="18" spans="1:8" ht="12.75">
      <c r="A18" t="s">
        <v>207</v>
      </c>
      <c r="B18" s="90">
        <f>B7*Sheet1!$D22</f>
        <v>123.65425531914894</v>
      </c>
      <c r="C18" s="90">
        <f>C7*Sheet1!$D22</f>
        <v>123.65425531914894</v>
      </c>
      <c r="D18" s="90">
        <f>D7*Sheet1!$D22</f>
        <v>123.65425531914894</v>
      </c>
      <c r="E18" s="91">
        <v>104375000</v>
      </c>
      <c r="F18">
        <f t="shared" si="4"/>
        <v>0.11847114282074149</v>
      </c>
      <c r="G18">
        <f t="shared" si="4"/>
        <v>0.11847114282074149</v>
      </c>
      <c r="H18">
        <f t="shared" si="4"/>
        <v>0.11847114282074149</v>
      </c>
    </row>
    <row r="19" spans="1:8" ht="12.75">
      <c r="A19" t="s">
        <v>296</v>
      </c>
      <c r="B19" s="90">
        <f>B8*Sheet1!$D23</f>
        <v>74.19255319148937</v>
      </c>
      <c r="C19" s="90">
        <f>C8*Sheet1!$D23</f>
        <v>74.19255319148937</v>
      </c>
      <c r="D19" s="90">
        <f>D8*Sheet1!$D23</f>
        <v>74.19255319148937</v>
      </c>
      <c r="E19" s="91">
        <v>53500000</v>
      </c>
      <c r="F19">
        <f t="shared" si="4"/>
        <v>0.13867766951680255</v>
      </c>
      <c r="G19">
        <f t="shared" si="4"/>
        <v>0.13867766951680255</v>
      </c>
      <c r="H19">
        <f t="shared" si="4"/>
        <v>0.13867766951680255</v>
      </c>
    </row>
    <row r="20" spans="1:8" ht="12.75">
      <c r="A20" t="s">
        <v>159</v>
      </c>
      <c r="B20" s="90">
        <f>B9*Sheet1!$D24</f>
        <v>25.110000000000003</v>
      </c>
      <c r="C20" s="90">
        <f>C9*Sheet1!$D24</f>
        <v>25.110000000000003</v>
      </c>
      <c r="D20" s="90">
        <f>D9*Sheet1!$D24</f>
        <v>25.110000000000003</v>
      </c>
      <c r="E20" s="91">
        <v>36200000</v>
      </c>
      <c r="F20">
        <f t="shared" si="4"/>
        <v>0.06936464088397791</v>
      </c>
      <c r="G20">
        <f t="shared" si="4"/>
        <v>0.06936464088397791</v>
      </c>
      <c r="H20">
        <f t="shared" si="4"/>
        <v>0.06936464088397791</v>
      </c>
    </row>
    <row r="21" spans="2:5" ht="12.75">
      <c r="B21" s="90"/>
      <c r="C21" s="90"/>
      <c r="D21" s="90"/>
      <c r="E21" s="90"/>
    </row>
    <row r="22" spans="2:5" ht="12.75">
      <c r="B22" s="90"/>
      <c r="C22" s="90"/>
      <c r="D22" s="90"/>
      <c r="E22" s="90"/>
    </row>
    <row r="23" ht="12.75">
      <c r="A23" t="s">
        <v>220</v>
      </c>
    </row>
    <row r="24" spans="2:21" ht="12.75">
      <c r="B24" s="412" t="s">
        <v>188</v>
      </c>
      <c r="C24" s="412"/>
      <c r="D24" s="412"/>
      <c r="E24" s="88"/>
      <c r="F24" s="412" t="s">
        <v>199</v>
      </c>
      <c r="G24" s="412"/>
      <c r="H24" s="412"/>
      <c r="J24" t="s">
        <v>114</v>
      </c>
      <c r="K24" s="412" t="s">
        <v>221</v>
      </c>
      <c r="L24" s="412"/>
      <c r="M24" s="412"/>
      <c r="N24" s="59" t="s">
        <v>200</v>
      </c>
      <c r="O24" s="412" t="s">
        <v>199</v>
      </c>
      <c r="P24" s="412"/>
      <c r="Q24" s="412"/>
      <c r="R24" s="148"/>
      <c r="S24" s="413" t="s">
        <v>217</v>
      </c>
      <c r="T24" s="413"/>
      <c r="U24" s="413"/>
    </row>
    <row r="25" spans="2:21" ht="12.75">
      <c r="B25" s="59" t="s">
        <v>201</v>
      </c>
      <c r="C25" s="59" t="s">
        <v>202</v>
      </c>
      <c r="D25" s="59" t="s">
        <v>203</v>
      </c>
      <c r="E25" s="91"/>
      <c r="F25" s="59" t="s">
        <v>201</v>
      </c>
      <c r="G25" s="59" t="s">
        <v>202</v>
      </c>
      <c r="H25" s="59" t="s">
        <v>203</v>
      </c>
      <c r="K25" s="59" t="s">
        <v>201</v>
      </c>
      <c r="L25" s="59" t="s">
        <v>202</v>
      </c>
      <c r="M25" s="59" t="s">
        <v>203</v>
      </c>
      <c r="N25" s="59"/>
      <c r="O25" s="59" t="s">
        <v>201</v>
      </c>
      <c r="P25" s="59" t="s">
        <v>202</v>
      </c>
      <c r="Q25" s="59" t="s">
        <v>203</v>
      </c>
      <c r="R25" s="148"/>
      <c r="S25" s="59" t="s">
        <v>201</v>
      </c>
      <c r="T25" s="59" t="s">
        <v>202</v>
      </c>
      <c r="U25" s="59" t="s">
        <v>203</v>
      </c>
    </row>
    <row r="26" spans="1:21" ht="12.75">
      <c r="A26" t="s">
        <v>204</v>
      </c>
      <c r="B26" s="90">
        <f aca="true" t="shared" si="6" ref="B26:D31">B4-B15</f>
        <v>5.125</v>
      </c>
      <c r="C26" s="90">
        <f t="shared" si="6"/>
        <v>5.125</v>
      </c>
      <c r="D26" s="90">
        <f t="shared" si="6"/>
        <v>5.125</v>
      </c>
      <c r="E26" s="91">
        <v>20600000</v>
      </c>
      <c r="F26">
        <f aca="true" t="shared" si="7" ref="F26:H31">100000*B26/$E26</f>
        <v>0.02487864077669903</v>
      </c>
      <c r="G26">
        <f t="shared" si="7"/>
        <v>0.02487864077669903</v>
      </c>
      <c r="H26">
        <f t="shared" si="7"/>
        <v>0.02487864077669903</v>
      </c>
      <c r="J26" t="s">
        <v>137</v>
      </c>
      <c r="K26" s="92">
        <f>SUM(B26:B27)</f>
        <v>18.45</v>
      </c>
      <c r="L26" s="92">
        <f>SUM(C26:C27)</f>
        <v>18.45</v>
      </c>
      <c r="M26" s="92">
        <f>SUM(D26:D27)</f>
        <v>18.45</v>
      </c>
      <c r="N26" s="92">
        <f>SUM(E26:E27)</f>
        <v>73800000</v>
      </c>
      <c r="O26">
        <f aca="true" t="shared" si="8" ref="O26:Q28">K26*100000/$N26</f>
        <v>0.025</v>
      </c>
      <c r="P26">
        <f t="shared" si="8"/>
        <v>0.025</v>
      </c>
      <c r="Q26">
        <f t="shared" si="8"/>
        <v>0.025</v>
      </c>
      <c r="S26" s="255">
        <f>M26/cases!$M26</f>
        <v>6.832003308820471E-06</v>
      </c>
      <c r="T26" s="255">
        <f>L26/cases!$L26</f>
        <v>1.280326615028991E-05</v>
      </c>
      <c r="U26" s="255">
        <f>K26/cases!$K26</f>
        <v>2.1345132523241312E-05</v>
      </c>
    </row>
    <row r="27" spans="1:21" ht="12.75">
      <c r="A27" t="s">
        <v>205</v>
      </c>
      <c r="B27" s="90">
        <f t="shared" si="6"/>
        <v>13.325</v>
      </c>
      <c r="C27" s="90">
        <f t="shared" si="6"/>
        <v>13.325</v>
      </c>
      <c r="D27" s="90">
        <f t="shared" si="6"/>
        <v>13.325</v>
      </c>
      <c r="E27" s="91">
        <v>53200000</v>
      </c>
      <c r="F27">
        <f t="shared" si="7"/>
        <v>0.02504699248120301</v>
      </c>
      <c r="G27">
        <f t="shared" si="7"/>
        <v>0.02504699248120301</v>
      </c>
      <c r="H27">
        <f t="shared" si="7"/>
        <v>0.02504699248120301</v>
      </c>
      <c r="J27" t="s">
        <v>139</v>
      </c>
      <c r="K27" s="92">
        <f>SUM(B28:B30)</f>
        <v>54.529999999999994</v>
      </c>
      <c r="L27" s="92">
        <f>SUM(C28:C30)</f>
        <v>54.529999999999994</v>
      </c>
      <c r="M27" s="92">
        <f>SUM(D28:D30)</f>
        <v>54.529999999999994</v>
      </c>
      <c r="N27" s="92">
        <f>SUM(E28:E30)</f>
        <v>187100000</v>
      </c>
      <c r="O27">
        <f t="shared" si="8"/>
        <v>0.029144842330304645</v>
      </c>
      <c r="P27">
        <f t="shared" si="8"/>
        <v>0.029144842330304645</v>
      </c>
      <c r="Q27">
        <f t="shared" si="8"/>
        <v>0.029144842330304645</v>
      </c>
      <c r="S27" s="255">
        <f>M27/cases!$M27</f>
        <v>2.4653288853395727E-05</v>
      </c>
      <c r="T27" s="255">
        <f>L27/cases!$L27</f>
        <v>4.62005857869709E-05</v>
      </c>
      <c r="U27" s="255">
        <f>K27/cases!$K27</f>
        <v>7.702388992039657E-05</v>
      </c>
    </row>
    <row r="28" spans="1:21" ht="12.75">
      <c r="A28" t="s">
        <v>206</v>
      </c>
      <c r="B28" s="90">
        <f t="shared" si="6"/>
        <v>8.121489361702125</v>
      </c>
      <c r="C28" s="90">
        <f t="shared" si="6"/>
        <v>8.121489361702125</v>
      </c>
      <c r="D28" s="90">
        <f t="shared" si="6"/>
        <v>8.121489361702125</v>
      </c>
      <c r="E28" s="91">
        <v>29225000</v>
      </c>
      <c r="F28">
        <f t="shared" si="7"/>
        <v>0.02778952732832207</v>
      </c>
      <c r="G28">
        <f t="shared" si="7"/>
        <v>0.02778952732832207</v>
      </c>
      <c r="H28">
        <f t="shared" si="7"/>
        <v>0.02778952732832207</v>
      </c>
      <c r="J28" t="s">
        <v>140</v>
      </c>
      <c r="K28" s="92">
        <f>B31</f>
        <v>5.889999999999997</v>
      </c>
      <c r="L28" s="92">
        <f>C31</f>
        <v>5.889999999999997</v>
      </c>
      <c r="M28" s="92">
        <f>D31</f>
        <v>5.889999999999997</v>
      </c>
      <c r="N28" s="92">
        <f>E31</f>
        <v>36200000</v>
      </c>
      <c r="O28">
        <f t="shared" si="8"/>
        <v>0.01627071823204419</v>
      </c>
      <c r="P28">
        <f t="shared" si="8"/>
        <v>0.01627071823204419</v>
      </c>
      <c r="Q28">
        <f t="shared" si="8"/>
        <v>0.01627071823204419</v>
      </c>
      <c r="S28" s="255">
        <f>M28/cases!$M28</f>
        <v>0.00014620892781125328</v>
      </c>
      <c r="T28" s="255">
        <f>L28/cases!$L28</f>
        <v>0.00027399826876498365</v>
      </c>
      <c r="U28" s="255">
        <f>K28/cases!$K28</f>
        <v>0.0004567933925657793</v>
      </c>
    </row>
    <row r="29" spans="1:8" ht="12.75">
      <c r="A29" t="s">
        <v>207</v>
      </c>
      <c r="B29" s="90">
        <f t="shared" si="6"/>
        <v>29.005319148936167</v>
      </c>
      <c r="C29" s="90">
        <f t="shared" si="6"/>
        <v>29.005319148936167</v>
      </c>
      <c r="D29" s="90">
        <f t="shared" si="6"/>
        <v>29.005319148936167</v>
      </c>
      <c r="E29" s="91">
        <v>104375000</v>
      </c>
      <c r="F29">
        <f t="shared" si="7"/>
        <v>0.027789527328322072</v>
      </c>
      <c r="G29">
        <f t="shared" si="7"/>
        <v>0.027789527328322072</v>
      </c>
      <c r="H29">
        <f t="shared" si="7"/>
        <v>0.027789527328322072</v>
      </c>
    </row>
    <row r="30" spans="1:8" ht="12.75">
      <c r="A30" t="s">
        <v>296</v>
      </c>
      <c r="B30" s="90">
        <f t="shared" si="6"/>
        <v>17.403191489361703</v>
      </c>
      <c r="C30" s="90">
        <f t="shared" si="6"/>
        <v>17.403191489361703</v>
      </c>
      <c r="D30" s="90">
        <f t="shared" si="6"/>
        <v>17.403191489361703</v>
      </c>
      <c r="E30" s="91">
        <v>53500000</v>
      </c>
      <c r="F30">
        <f t="shared" si="7"/>
        <v>0.03252932988665739</v>
      </c>
      <c r="G30">
        <f t="shared" si="7"/>
        <v>0.03252932988665739</v>
      </c>
      <c r="H30">
        <f t="shared" si="7"/>
        <v>0.03252932988665739</v>
      </c>
    </row>
    <row r="31" spans="1:8" ht="12.75">
      <c r="A31" t="s">
        <v>159</v>
      </c>
      <c r="B31" s="90">
        <f t="shared" si="6"/>
        <v>5.889999999999997</v>
      </c>
      <c r="C31" s="90">
        <f t="shared" si="6"/>
        <v>5.889999999999997</v>
      </c>
      <c r="D31" s="90">
        <f t="shared" si="6"/>
        <v>5.889999999999997</v>
      </c>
      <c r="E31" s="91">
        <v>36200000</v>
      </c>
      <c r="F31">
        <f t="shared" si="7"/>
        <v>0.01627071823204419</v>
      </c>
      <c r="G31">
        <f t="shared" si="7"/>
        <v>0.01627071823204419</v>
      </c>
      <c r="H31">
        <f t="shared" si="7"/>
        <v>0.01627071823204419</v>
      </c>
    </row>
    <row r="32" spans="2:5" ht="12.75">
      <c r="B32" s="90"/>
      <c r="C32" s="90"/>
      <c r="D32" s="90"/>
      <c r="E32" s="90"/>
    </row>
    <row r="33" spans="2:4" ht="12.75">
      <c r="B33" s="234"/>
      <c r="C33" s="90"/>
      <c r="D33" s="90"/>
    </row>
    <row r="34" ht="12.75">
      <c r="A34" s="21" t="s">
        <v>306</v>
      </c>
    </row>
    <row r="35" ht="12.75">
      <c r="A35" s="21" t="s">
        <v>307</v>
      </c>
    </row>
    <row r="36" spans="1:3" ht="12.75">
      <c r="A36" s="21" t="s">
        <v>137</v>
      </c>
      <c r="B36" s="21">
        <v>45</v>
      </c>
      <c r="C36" s="82">
        <f>B36/B39</f>
        <v>0.12396694214876033</v>
      </c>
    </row>
    <row r="37" spans="1:3" ht="12.75">
      <c r="A37" s="21" t="s">
        <v>139</v>
      </c>
      <c r="B37" s="21">
        <v>287</v>
      </c>
      <c r="C37" s="82">
        <f>B37/B39</f>
        <v>0.790633608815427</v>
      </c>
    </row>
    <row r="38" spans="1:3" ht="12.75">
      <c r="A38" s="21" t="s">
        <v>140</v>
      </c>
      <c r="B38" s="21">
        <v>31</v>
      </c>
      <c r="C38" s="82">
        <f>B38/B39</f>
        <v>0.08539944903581267</v>
      </c>
    </row>
    <row r="39" ht="12.75">
      <c r="B39">
        <f>SUM(B36:B38)</f>
        <v>363</v>
      </c>
    </row>
  </sheetData>
  <sheetProtection/>
  <mergeCells count="15">
    <mergeCell ref="B2:D2"/>
    <mergeCell ref="F2:H2"/>
    <mergeCell ref="B13:D13"/>
    <mergeCell ref="F13:H13"/>
    <mergeCell ref="B24:D24"/>
    <mergeCell ref="F24:H24"/>
    <mergeCell ref="S24:U24"/>
    <mergeCell ref="K13:M13"/>
    <mergeCell ref="O13:Q13"/>
    <mergeCell ref="K24:M24"/>
    <mergeCell ref="O24:Q24"/>
    <mergeCell ref="K2:M2"/>
    <mergeCell ref="O2:Q2"/>
    <mergeCell ref="S2:U2"/>
    <mergeCell ref="S13:U13"/>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codeName="Sheet8"/>
  <dimension ref="A1:J38"/>
  <sheetViews>
    <sheetView zoomScalePageLayoutView="0" workbookViewId="0" topLeftCell="A25">
      <selection activeCell="B4" sqref="B4"/>
    </sheetView>
  </sheetViews>
  <sheetFormatPr defaultColWidth="9.140625" defaultRowHeight="12.75"/>
  <cols>
    <col min="1" max="1" width="18.57421875" style="0" customWidth="1"/>
    <col min="5" max="5" width="20.57421875" style="0" customWidth="1"/>
    <col min="6" max="6" width="12.00390625" style="0" customWidth="1"/>
    <col min="7" max="7" width="13.28125" style="0" customWidth="1"/>
    <col min="8" max="8" width="17.00390625" style="0" customWidth="1"/>
    <col min="9" max="9" width="18.57421875" style="0" customWidth="1"/>
    <col min="10" max="10" width="16.57421875" style="0" customWidth="1"/>
  </cols>
  <sheetData>
    <row r="1" spans="5:10" ht="27" customHeight="1" thickBot="1">
      <c r="E1" s="212"/>
      <c r="F1" s="414" t="s">
        <v>261</v>
      </c>
      <c r="G1" s="415"/>
      <c r="H1" s="416"/>
      <c r="I1" s="414" t="s">
        <v>262</v>
      </c>
      <c r="J1" s="392"/>
    </row>
    <row r="2" spans="4:10" ht="14.25" thickBot="1">
      <c r="D2" t="s">
        <v>263</v>
      </c>
      <c r="E2" s="213"/>
      <c r="F2" s="214" t="s">
        <v>224</v>
      </c>
      <c r="G2" s="417" t="s">
        <v>264</v>
      </c>
      <c r="H2" s="418"/>
      <c r="I2" s="214" t="s">
        <v>224</v>
      </c>
      <c r="J2" s="214" t="s">
        <v>264</v>
      </c>
    </row>
    <row r="3" spans="5:10" ht="14.25" thickBot="1">
      <c r="E3" s="213" t="s">
        <v>265</v>
      </c>
      <c r="F3" s="215">
        <v>3052768</v>
      </c>
      <c r="G3" s="215">
        <v>1831115</v>
      </c>
      <c r="H3" s="215">
        <v>5720928</v>
      </c>
      <c r="I3" s="216">
        <v>997</v>
      </c>
      <c r="J3" s="216" t="s">
        <v>266</v>
      </c>
    </row>
    <row r="4" spans="4:10" ht="14.25" thickBot="1">
      <c r="D4" s="28">
        <f>F4/$F$3</f>
        <v>0.1300567222926865</v>
      </c>
      <c r="E4" s="217" t="s">
        <v>267</v>
      </c>
      <c r="F4" s="215">
        <v>397033</v>
      </c>
      <c r="G4" s="215">
        <v>238149</v>
      </c>
      <c r="H4" s="215">
        <v>744045</v>
      </c>
      <c r="I4" s="215">
        <v>1870</v>
      </c>
      <c r="J4" s="216" t="s">
        <v>268</v>
      </c>
    </row>
    <row r="5" spans="4:10" ht="14.25" thickBot="1">
      <c r="D5" s="28">
        <f>F5/$F$3</f>
        <v>0.5962732837870418</v>
      </c>
      <c r="E5" s="217" t="s">
        <v>269</v>
      </c>
      <c r="F5" s="215">
        <v>1820284</v>
      </c>
      <c r="G5" s="215">
        <v>1091845</v>
      </c>
      <c r="H5" s="215">
        <v>3411237</v>
      </c>
      <c r="I5" s="215">
        <v>2196</v>
      </c>
      <c r="J5" s="216" t="s">
        <v>270</v>
      </c>
    </row>
    <row r="6" spans="4:10" ht="14.25" thickBot="1">
      <c r="D6" s="28">
        <f>F6/$F$3</f>
        <v>0.20075616620719294</v>
      </c>
      <c r="E6" s="217" t="s">
        <v>271</v>
      </c>
      <c r="F6" s="215">
        <v>612862</v>
      </c>
      <c r="G6" s="215">
        <v>367608</v>
      </c>
      <c r="H6" s="215">
        <v>1148511</v>
      </c>
      <c r="I6" s="216">
        <v>577</v>
      </c>
      <c r="J6" s="216" t="s">
        <v>272</v>
      </c>
    </row>
    <row r="7" spans="4:10" ht="14.25" thickBot="1">
      <c r="D7" s="28">
        <f>F7/$F$3</f>
        <v>0.05906017096615269</v>
      </c>
      <c r="E7" s="217" t="s">
        <v>186</v>
      </c>
      <c r="F7" s="215">
        <v>180297</v>
      </c>
      <c r="G7" s="215">
        <v>108146</v>
      </c>
      <c r="H7" s="215">
        <v>337879</v>
      </c>
      <c r="I7" s="216">
        <v>319</v>
      </c>
      <c r="J7" s="216" t="s">
        <v>273</v>
      </c>
    </row>
    <row r="8" spans="4:10" ht="18.75" customHeight="1" thickBot="1">
      <c r="D8" s="28">
        <f>F8/$F$3</f>
        <v>0.013853656746926069</v>
      </c>
      <c r="E8" s="217" t="s">
        <v>140</v>
      </c>
      <c r="F8" s="215">
        <v>42292</v>
      </c>
      <c r="G8" s="215">
        <v>25368</v>
      </c>
      <c r="H8" s="215">
        <v>79256</v>
      </c>
      <c r="I8" s="216">
        <v>107</v>
      </c>
      <c r="J8" s="216" t="s">
        <v>274</v>
      </c>
    </row>
    <row r="9" spans="4:10" ht="14.25" thickBot="1">
      <c r="D9" s="28">
        <f>SUM(D4:D8)</f>
        <v>1</v>
      </c>
      <c r="E9" s="213"/>
      <c r="F9" s="216"/>
      <c r="G9" s="216"/>
      <c r="H9" s="216"/>
      <c r="I9" s="216"/>
      <c r="J9" s="216"/>
    </row>
    <row r="10" spans="5:10" ht="14.25" thickBot="1">
      <c r="E10" s="213" t="s">
        <v>275</v>
      </c>
      <c r="F10" s="215">
        <v>13764</v>
      </c>
      <c r="G10" s="215">
        <v>9278</v>
      </c>
      <c r="H10" s="215">
        <v>21305</v>
      </c>
      <c r="I10" s="216">
        <v>4.5</v>
      </c>
      <c r="J10" s="216" t="s">
        <v>276</v>
      </c>
    </row>
    <row r="11" spans="5:10" ht="14.25" thickBot="1">
      <c r="E11" s="217" t="s">
        <v>267</v>
      </c>
      <c r="F11" s="215">
        <v>2768</v>
      </c>
      <c r="G11" s="215">
        <v>1866</v>
      </c>
      <c r="H11" s="215">
        <v>4285</v>
      </c>
      <c r="I11" s="216">
        <v>13</v>
      </c>
      <c r="J11" s="216" t="s">
        <v>277</v>
      </c>
    </row>
    <row r="12" spans="5:10" ht="14.25" thickBot="1">
      <c r="E12" s="217" t="s">
        <v>269</v>
      </c>
      <c r="F12" s="215">
        <v>4991</v>
      </c>
      <c r="G12" s="215">
        <v>3364</v>
      </c>
      <c r="H12" s="215">
        <v>7725</v>
      </c>
      <c r="I12" s="216">
        <v>6</v>
      </c>
      <c r="J12" s="216" t="s">
        <v>278</v>
      </c>
    </row>
    <row r="13" spans="5:10" ht="14.25" thickBot="1">
      <c r="E13" s="217" t="s">
        <v>271</v>
      </c>
      <c r="F13" s="215">
        <v>3440</v>
      </c>
      <c r="G13" s="215">
        <v>2319</v>
      </c>
      <c r="H13" s="215">
        <v>5324</v>
      </c>
      <c r="I13" s="216">
        <v>3.2</v>
      </c>
      <c r="J13" s="216" t="s">
        <v>279</v>
      </c>
    </row>
    <row r="14" spans="5:10" ht="14.25" thickBot="1">
      <c r="E14" s="217" t="s">
        <v>186</v>
      </c>
      <c r="F14" s="215">
        <v>1912</v>
      </c>
      <c r="G14" s="215">
        <v>1289</v>
      </c>
      <c r="H14" s="215">
        <v>2959</v>
      </c>
      <c r="I14" s="216">
        <v>3.4</v>
      </c>
      <c r="J14" s="216" t="s">
        <v>280</v>
      </c>
    </row>
    <row r="15" spans="5:10" ht="14.25" thickBot="1">
      <c r="E15" s="217" t="s">
        <v>140</v>
      </c>
      <c r="F15" s="216">
        <v>654</v>
      </c>
      <c r="G15" s="216">
        <v>441</v>
      </c>
      <c r="H15" s="215">
        <v>1012</v>
      </c>
      <c r="I15" s="216">
        <v>1.7</v>
      </c>
      <c r="J15" s="216" t="s">
        <v>281</v>
      </c>
    </row>
    <row r="16" spans="1:10" ht="27.75" thickBot="1">
      <c r="A16" s="218" t="s">
        <v>282</v>
      </c>
      <c r="B16" s="82">
        <v>0.06</v>
      </c>
      <c r="E16" s="213"/>
      <c r="F16" s="216"/>
      <c r="G16" s="216"/>
      <c r="H16" s="216"/>
      <c r="I16" s="216"/>
      <c r="J16" s="216"/>
    </row>
    <row r="17" spans="4:10" ht="39" customHeight="1" thickBot="1">
      <c r="D17" s="219" t="s">
        <v>283</v>
      </c>
      <c r="E17" s="213" t="s">
        <v>18</v>
      </c>
      <c r="F17" s="215">
        <f>F10*$B$16</f>
        <v>825.8399999999999</v>
      </c>
      <c r="G17" s="215">
        <f>G10*$B$16</f>
        <v>556.68</v>
      </c>
      <c r="H17" s="215">
        <f>H10*$B$16</f>
        <v>1278.3</v>
      </c>
      <c r="I17" s="216"/>
      <c r="J17" s="216"/>
    </row>
    <row r="18" spans="4:10" ht="14.25" thickBot="1">
      <c r="D18" s="220">
        <v>0.0249</v>
      </c>
      <c r="E18" s="217" t="s">
        <v>267</v>
      </c>
      <c r="F18" s="215">
        <f>$F$17*D18</f>
        <v>20.563415999999997</v>
      </c>
      <c r="G18" s="215">
        <f>$G$17*D18</f>
        <v>13.861331999999997</v>
      </c>
      <c r="H18" s="215">
        <f>$H$17*D18</f>
        <v>31.829669999999997</v>
      </c>
      <c r="I18" s="216"/>
      <c r="J18" s="216"/>
    </row>
    <row r="19" spans="4:10" ht="14.25" thickBot="1">
      <c r="D19" s="220">
        <v>0.1734</v>
      </c>
      <c r="E19" s="217" t="s">
        <v>269</v>
      </c>
      <c r="F19" s="215">
        <f>$F$17*D19</f>
        <v>143.20065599999998</v>
      </c>
      <c r="G19" s="215">
        <f>$G$17*D19</f>
        <v>96.52831199999999</v>
      </c>
      <c r="H19" s="215">
        <f>$H$17*D19</f>
        <v>221.65722</v>
      </c>
      <c r="I19" s="216"/>
      <c r="J19" s="216"/>
    </row>
    <row r="20" spans="4:10" ht="14.25" thickBot="1">
      <c r="D20" s="220">
        <v>0.4492</v>
      </c>
      <c r="E20" s="217" t="s">
        <v>271</v>
      </c>
      <c r="F20" s="215">
        <f>$F$17*D20</f>
        <v>370.96732799999995</v>
      </c>
      <c r="G20" s="215">
        <f>$G$17*D20</f>
        <v>250.06065599999997</v>
      </c>
      <c r="H20" s="215">
        <f>$H$17*D20</f>
        <v>574.21236</v>
      </c>
      <c r="I20" s="216"/>
      <c r="J20" s="216"/>
    </row>
    <row r="21" spans="4:10" ht="14.25" thickBot="1">
      <c r="D21" s="220">
        <v>0.2574</v>
      </c>
      <c r="E21" s="217" t="s">
        <v>186</v>
      </c>
      <c r="F21" s="215">
        <f>$F$17*D21</f>
        <v>212.571216</v>
      </c>
      <c r="G21" s="215">
        <f>$G$17*D21</f>
        <v>143.289432</v>
      </c>
      <c r="H21" s="215">
        <f>$H$17*D21</f>
        <v>329.03442</v>
      </c>
      <c r="I21" s="216"/>
      <c r="J21" s="216"/>
    </row>
    <row r="22" spans="4:10" ht="14.25" thickBot="1">
      <c r="D22" s="220">
        <v>0.094</v>
      </c>
      <c r="E22" s="217" t="s">
        <v>140</v>
      </c>
      <c r="F22" s="215">
        <f>$F$17*D22</f>
        <v>77.62895999999999</v>
      </c>
      <c r="G22" s="215">
        <f>$G$17*D22</f>
        <v>52.32792</v>
      </c>
      <c r="H22" s="215">
        <f>$H$17*D22</f>
        <v>120.16019999999999</v>
      </c>
      <c r="I22" s="216"/>
      <c r="J22" s="216"/>
    </row>
    <row r="23" spans="4:9" ht="14.25" thickBot="1">
      <c r="D23" s="220"/>
      <c r="E23" s="221"/>
      <c r="F23" s="222"/>
      <c r="G23" s="222"/>
      <c r="H23" s="222"/>
      <c r="I23" s="223"/>
    </row>
    <row r="24" spans="5:8" ht="27.75" thickBot="1">
      <c r="E24" s="224" t="s">
        <v>284</v>
      </c>
      <c r="F24" s="225" t="s">
        <v>224</v>
      </c>
      <c r="G24" s="225" t="s">
        <v>285</v>
      </c>
      <c r="H24" s="225" t="s">
        <v>201</v>
      </c>
    </row>
    <row r="25" spans="5:8" ht="14.25" thickBot="1">
      <c r="E25" s="213" t="s">
        <v>114</v>
      </c>
      <c r="F25" s="226">
        <f aca="true" t="shared" si="0" ref="F25:H30">F10/F3</f>
        <v>0.004508695059696643</v>
      </c>
      <c r="G25" s="226">
        <f t="shared" si="0"/>
        <v>0.005066858171114321</v>
      </c>
      <c r="H25" s="226">
        <f t="shared" si="0"/>
        <v>0.0037240461687334642</v>
      </c>
    </row>
    <row r="26" spans="5:8" ht="14.25" thickBot="1">
      <c r="E26" s="217" t="s">
        <v>267</v>
      </c>
      <c r="F26" s="226">
        <f t="shared" si="0"/>
        <v>0.006971712678794962</v>
      </c>
      <c r="G26" s="226">
        <f t="shared" si="0"/>
        <v>0.007835430759734452</v>
      </c>
      <c r="H26" s="226">
        <f t="shared" si="0"/>
        <v>0.005759060271892157</v>
      </c>
    </row>
    <row r="27" spans="5:8" ht="14.25" thickBot="1">
      <c r="E27" s="217" t="s">
        <v>269</v>
      </c>
      <c r="F27" s="226">
        <f t="shared" si="0"/>
        <v>0.0027418798385306906</v>
      </c>
      <c r="G27" s="226">
        <f t="shared" si="0"/>
        <v>0.0030810234053368383</v>
      </c>
      <c r="H27" s="226">
        <f t="shared" si="0"/>
        <v>0.0022645744051204885</v>
      </c>
    </row>
    <row r="28" spans="5:8" ht="14.25" thickBot="1">
      <c r="E28" s="217" t="s">
        <v>271</v>
      </c>
      <c r="F28" s="226">
        <f t="shared" si="0"/>
        <v>0.005613009127666587</v>
      </c>
      <c r="G28" s="226">
        <f t="shared" si="0"/>
        <v>0.006308350199125155</v>
      </c>
      <c r="H28" s="226">
        <f t="shared" si="0"/>
        <v>0.004635567269272998</v>
      </c>
    </row>
    <row r="29" spans="5:8" ht="14.25" thickBot="1">
      <c r="E29" s="217" t="s">
        <v>186</v>
      </c>
      <c r="F29" s="226">
        <f t="shared" si="0"/>
        <v>0.010604724426917808</v>
      </c>
      <c r="G29" s="226">
        <f t="shared" si="0"/>
        <v>0.01191907236513602</v>
      </c>
      <c r="H29" s="226">
        <f t="shared" si="0"/>
        <v>0.008757572977308444</v>
      </c>
    </row>
    <row r="30" spans="5:8" ht="14.25" thickBot="1">
      <c r="E30" s="217" t="s">
        <v>140</v>
      </c>
      <c r="F30" s="226">
        <f t="shared" si="0"/>
        <v>0.015463917525773196</v>
      </c>
      <c r="G30" s="226">
        <f t="shared" si="0"/>
        <v>0.0173841059602649</v>
      </c>
      <c r="H30" s="226">
        <f t="shared" si="0"/>
        <v>0.012768749369132937</v>
      </c>
    </row>
    <row r="31" ht="13.5" thickBot="1"/>
    <row r="32" spans="5:8" ht="14.25" thickBot="1">
      <c r="E32" s="227" t="s">
        <v>286</v>
      </c>
      <c r="F32" s="225" t="s">
        <v>224</v>
      </c>
      <c r="G32" s="225" t="s">
        <v>285</v>
      </c>
      <c r="H32" s="225" t="s">
        <v>201</v>
      </c>
    </row>
    <row r="33" spans="5:8" ht="14.25" thickBot="1">
      <c r="E33" s="228" t="s">
        <v>114</v>
      </c>
      <c r="F33" s="229">
        <f aca="true" t="shared" si="1" ref="F33:H38">F17/F3</f>
        <v>0.00027052170358179853</v>
      </c>
      <c r="G33" s="229">
        <f t="shared" si="1"/>
        <v>0.00030401149026685926</v>
      </c>
      <c r="H33" s="229">
        <f t="shared" si="1"/>
        <v>0.00022344277012400785</v>
      </c>
    </row>
    <row r="34" spans="5:8" ht="14.25" thickBot="1">
      <c r="E34" s="217" t="s">
        <v>267</v>
      </c>
      <c r="F34" s="229">
        <f t="shared" si="1"/>
        <v>5.17927124445575E-05</v>
      </c>
      <c r="G34" s="229">
        <f t="shared" si="1"/>
        <v>5.82044518347757E-05</v>
      </c>
      <c r="H34" s="229">
        <f t="shared" si="1"/>
        <v>4.277922706287926E-05</v>
      </c>
    </row>
    <row r="35" spans="5:8" ht="14.25" thickBot="1">
      <c r="E35" s="217" t="s">
        <v>269</v>
      </c>
      <c r="F35" s="229">
        <f t="shared" si="1"/>
        <v>7.866940323597855E-05</v>
      </c>
      <c r="G35" s="229">
        <f t="shared" si="1"/>
        <v>8.840843892677073E-05</v>
      </c>
      <c r="H35" s="229">
        <f t="shared" si="1"/>
        <v>6.49785459057814E-05</v>
      </c>
    </row>
    <row r="36" spans="5:8" ht="14.25" thickBot="1">
      <c r="E36" s="217" t="s">
        <v>271</v>
      </c>
      <c r="F36" s="229">
        <f t="shared" si="1"/>
        <v>0.0006053031971308385</v>
      </c>
      <c r="G36" s="229">
        <f t="shared" si="1"/>
        <v>0.0006802372527257294</v>
      </c>
      <c r="H36" s="229">
        <f t="shared" si="1"/>
        <v>0.0004999624383223147</v>
      </c>
    </row>
    <row r="37" spans="5:8" ht="14.25" thickBot="1">
      <c r="E37" s="217" t="s">
        <v>186</v>
      </c>
      <c r="F37" s="229">
        <f t="shared" si="1"/>
        <v>0.0011790058403634003</v>
      </c>
      <c r="G37" s="229">
        <f t="shared" si="1"/>
        <v>0.001324962846522294</v>
      </c>
      <c r="H37" s="229">
        <f t="shared" si="1"/>
        <v>0.0009738232325773428</v>
      </c>
    </row>
    <row r="38" spans="5:8" ht="14.25" thickBot="1">
      <c r="E38" s="217" t="s">
        <v>140</v>
      </c>
      <c r="F38" s="229">
        <f t="shared" si="1"/>
        <v>0.0018355471483968598</v>
      </c>
      <c r="G38" s="229">
        <f t="shared" si="1"/>
        <v>0.00206275307473983</v>
      </c>
      <c r="H38" s="229">
        <f t="shared" si="1"/>
        <v>0.0015161022509336832</v>
      </c>
    </row>
  </sheetData>
  <sheetProtection/>
  <mergeCells count="3">
    <mergeCell ref="I1:J1"/>
    <mergeCell ref="F1:H1"/>
    <mergeCell ref="G2:H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
    <tabColor indexed="57"/>
    <pageSetUpPr fitToPage="1"/>
  </sheetPr>
  <dimension ref="B6:J18"/>
  <sheetViews>
    <sheetView showRowColHeaders="0" zoomScalePageLayoutView="0" workbookViewId="0" topLeftCell="A1">
      <selection activeCell="H13" sqref="H13:J13"/>
    </sheetView>
  </sheetViews>
  <sheetFormatPr defaultColWidth="9.140625" defaultRowHeight="12.75"/>
  <cols>
    <col min="1" max="1" width="9.140625" style="5" customWidth="1"/>
    <col min="2" max="2" width="13.140625" style="5" customWidth="1"/>
    <col min="3" max="6" width="9.140625" style="5" customWidth="1"/>
    <col min="7" max="7" width="13.00390625" style="5" customWidth="1"/>
    <col min="8" max="16384" width="9.140625" style="5" customWidth="1"/>
  </cols>
  <sheetData>
    <row r="1" s="1" customFormat="1" ht="12.75"/>
    <row r="2" s="1" customFormat="1" ht="12.75"/>
    <row r="3" s="1" customFormat="1" ht="12.75"/>
    <row r="4" s="1" customFormat="1" ht="12.75"/>
    <row r="5" ht="12.75" customHeight="1"/>
    <row r="6" spans="4:8" ht="12.75" customHeight="1">
      <c r="D6" s="366" t="s">
        <v>6</v>
      </c>
      <c r="E6" s="366"/>
      <c r="F6" s="366"/>
      <c r="G6" s="366"/>
      <c r="H6" s="366"/>
    </row>
    <row r="7" spans="4:8" ht="18" customHeight="1">
      <c r="D7" s="366"/>
      <c r="E7" s="366"/>
      <c r="F7" s="366"/>
      <c r="G7" s="366"/>
      <c r="H7" s="366"/>
    </row>
    <row r="8" ht="13.5" thickBot="1"/>
    <row r="9" spans="2:10" ht="16.5" thickBot="1">
      <c r="B9" s="7" t="s">
        <v>7</v>
      </c>
      <c r="C9" s="367"/>
      <c r="D9" s="368"/>
      <c r="E9" s="369"/>
      <c r="G9" s="7" t="s">
        <v>8</v>
      </c>
      <c r="H9" s="367"/>
      <c r="I9" s="368"/>
      <c r="J9" s="369"/>
    </row>
    <row r="10" ht="13.5" thickBot="1"/>
    <row r="11" spans="2:10" ht="16.5" thickBot="1">
      <c r="B11" s="7" t="s">
        <v>9</v>
      </c>
      <c r="C11" s="367"/>
      <c r="D11" s="368"/>
      <c r="E11" s="368"/>
      <c r="F11" s="368"/>
      <c r="G11" s="368"/>
      <c r="H11" s="368"/>
      <c r="I11" s="368"/>
      <c r="J11" s="369"/>
    </row>
    <row r="12" ht="13.5" thickBot="1"/>
    <row r="13" spans="2:10" ht="16.5" thickBot="1">
      <c r="B13" s="7" t="s">
        <v>10</v>
      </c>
      <c r="C13" s="367"/>
      <c r="D13" s="368"/>
      <c r="E13" s="369"/>
      <c r="G13" s="7" t="s">
        <v>11</v>
      </c>
      <c r="H13" s="371" t="s">
        <v>305</v>
      </c>
      <c r="I13" s="372"/>
      <c r="J13" s="373"/>
    </row>
    <row r="14" ht="13.5" thickBot="1"/>
    <row r="15" spans="2:10" ht="16.5" thickBot="1">
      <c r="B15" s="7" t="s">
        <v>12</v>
      </c>
      <c r="C15" s="367"/>
      <c r="D15" s="368"/>
      <c r="E15" s="369"/>
      <c r="G15" s="7" t="s">
        <v>13</v>
      </c>
      <c r="H15" s="367"/>
      <c r="I15" s="368"/>
      <c r="J15" s="369"/>
    </row>
    <row r="18" spans="5:6" ht="12.75">
      <c r="E18" s="370"/>
      <c r="F18" s="370"/>
    </row>
  </sheetData>
  <sheetProtection/>
  <mergeCells count="9">
    <mergeCell ref="D6:H7"/>
    <mergeCell ref="H9:J9"/>
    <mergeCell ref="C11:J11"/>
    <mergeCell ref="E18:F18"/>
    <mergeCell ref="C13:E13"/>
    <mergeCell ref="H13:J13"/>
    <mergeCell ref="C15:E15"/>
    <mergeCell ref="H15:J15"/>
    <mergeCell ref="C9:E9"/>
  </mergeCells>
  <dataValidations count="1">
    <dataValidation type="list" allowBlank="1" showInputMessage="1" showErrorMessage="1" sqref="H13:J13">
      <formula1>states_other</formula1>
    </dataValidation>
  </dataValidations>
  <printOptions/>
  <pageMargins left="0.75" right="0.75" top="1" bottom="1" header="0.5" footer="0.5"/>
  <pageSetup fitToHeight="1" fitToWidth="1" horizontalDpi="600" verticalDpi="600" orientation="landscape" scale="96" r:id="rId3"/>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1"/>
    <pageSetUpPr fitToPage="1"/>
  </sheetPr>
  <dimension ref="B5:AP23"/>
  <sheetViews>
    <sheetView showRowColHeaders="0" zoomScalePageLayoutView="0" workbookViewId="0" topLeftCell="A1">
      <selection activeCell="D11" sqref="D11"/>
    </sheetView>
  </sheetViews>
  <sheetFormatPr defaultColWidth="9.140625" defaultRowHeight="12.75"/>
  <cols>
    <col min="1" max="1" width="9.140625" style="5" customWidth="1"/>
    <col min="2" max="2" width="19.421875" style="5" customWidth="1"/>
    <col min="3" max="3" width="9.140625" style="5" customWidth="1"/>
    <col min="4" max="4" width="16.7109375" style="5" customWidth="1"/>
    <col min="5" max="16384" width="9.140625" style="5" customWidth="1"/>
  </cols>
  <sheetData>
    <row r="1" s="1" customFormat="1" ht="12.75"/>
    <row r="2" s="1" customFormat="1" ht="12.75"/>
    <row r="3" s="1" customFormat="1" ht="12.75"/>
    <row r="4" s="1" customFormat="1" ht="12.75"/>
    <row r="5" spans="2:6" ht="20.25" customHeight="1">
      <c r="B5" s="374" t="s">
        <v>14</v>
      </c>
      <c r="C5" s="374"/>
      <c r="D5" s="374"/>
      <c r="E5" s="374"/>
      <c r="F5" s="374"/>
    </row>
    <row r="9" spans="4:41" ht="15.75">
      <c r="D9" s="8"/>
      <c r="AO9" s="9" t="s">
        <v>92</v>
      </c>
    </row>
    <row r="10" spans="3:40" ht="23.25" customHeight="1" thickBot="1">
      <c r="C10" s="10"/>
      <c r="D10" s="346" t="str">
        <f>Main_Sheet!H13</f>
        <v>United States (50 states and District of Columbia)</v>
      </c>
      <c r="E10" s="122"/>
      <c r="AN10" s="10"/>
    </row>
    <row r="11" spans="2:42" ht="17.25" thickBot="1" thickTop="1">
      <c r="B11" s="7" t="s">
        <v>225</v>
      </c>
      <c r="C11" s="129"/>
      <c r="D11" s="298">
        <f>'data entry'!$C$9</f>
        <v>82640086</v>
      </c>
      <c r="E11" s="131"/>
      <c r="F11" s="132"/>
      <c r="AN11" s="133"/>
      <c r="AO11" s="295">
        <f>'data entry'!$C$9</f>
        <v>82640086</v>
      </c>
      <c r="AP11" s="134"/>
    </row>
    <row r="12" spans="3:42" ht="13.5" thickTop="1">
      <c r="C12" s="135"/>
      <c r="D12" s="282"/>
      <c r="E12" s="135"/>
      <c r="F12" s="132"/>
      <c r="AN12" s="135"/>
      <c r="AO12" s="282"/>
      <c r="AP12" s="135"/>
    </row>
    <row r="13" spans="3:42" ht="13.5" thickBot="1">
      <c r="C13" s="135"/>
      <c r="D13" s="282"/>
      <c r="E13" s="135"/>
      <c r="F13" s="132"/>
      <c r="AN13" s="135"/>
      <c r="AO13" s="282"/>
      <c r="AP13" s="135"/>
    </row>
    <row r="14" spans="2:42" ht="17.25" thickBot="1" thickTop="1">
      <c r="B14" s="7" t="s">
        <v>226</v>
      </c>
      <c r="C14" s="129"/>
      <c r="D14" s="298">
        <f>'data entry'!$D$9</f>
        <v>182549922</v>
      </c>
      <c r="E14" s="131"/>
      <c r="F14" s="132"/>
      <c r="AN14" s="133"/>
      <c r="AO14" s="295">
        <f>'data entry'!$D$9</f>
        <v>182549922</v>
      </c>
      <c r="AP14" s="134"/>
    </row>
    <row r="15" spans="3:42" ht="13.5" thickTop="1">
      <c r="C15" s="135"/>
      <c r="D15" s="282"/>
      <c r="E15" s="135"/>
      <c r="F15" s="132"/>
      <c r="AN15" s="135"/>
      <c r="AO15" s="282"/>
      <c r="AP15" s="135"/>
    </row>
    <row r="16" spans="3:42" ht="13.5" thickBot="1">
      <c r="C16" s="135"/>
      <c r="D16" s="282"/>
      <c r="E16" s="135"/>
      <c r="F16" s="132"/>
      <c r="AN16" s="135"/>
      <c r="AO16" s="282"/>
      <c r="AP16" s="135"/>
    </row>
    <row r="17" spans="2:42" ht="17.25" thickBot="1" thickTop="1">
      <c r="B17" s="7" t="s">
        <v>16</v>
      </c>
      <c r="C17" s="129"/>
      <c r="D17" s="298">
        <f>'data entry'!$E$9</f>
        <v>38869716</v>
      </c>
      <c r="E17" s="131"/>
      <c r="F17" s="132"/>
      <c r="AN17" s="133"/>
      <c r="AO17" s="295">
        <f>'data entry'!$E$9</f>
        <v>38869716</v>
      </c>
      <c r="AP17" s="134"/>
    </row>
    <row r="18" spans="3:42" ht="13.5" thickTop="1">
      <c r="C18" s="136"/>
      <c r="D18" s="136"/>
      <c r="E18" s="136"/>
      <c r="F18" s="132"/>
      <c r="AN18" s="136"/>
      <c r="AO18" s="296"/>
      <c r="AP18" s="136"/>
    </row>
    <row r="19" spans="3:42" ht="13.5" thickBot="1">
      <c r="C19" s="137"/>
      <c r="D19" s="135"/>
      <c r="E19" s="135"/>
      <c r="F19" s="132"/>
      <c r="AN19" s="137"/>
      <c r="AO19" s="282"/>
      <c r="AP19" s="135"/>
    </row>
    <row r="20" spans="2:42" ht="17.25" thickBot="1" thickTop="1">
      <c r="B20" s="7" t="s">
        <v>17</v>
      </c>
      <c r="C20" s="375">
        <f>IF(D11+D14+D17=0,"",D11+D14+D17)</f>
        <v>304059724</v>
      </c>
      <c r="D20" s="376"/>
      <c r="E20" s="377"/>
      <c r="F20" s="132"/>
      <c r="AN20" s="138"/>
      <c r="AO20" s="297">
        <f>AO11+AO14+AO17</f>
        <v>304059724</v>
      </c>
      <c r="AP20" s="139"/>
    </row>
    <row r="21" ht="13.5" thickTop="1"/>
    <row r="23" spans="3:4" ht="12.75">
      <c r="C23" s="370"/>
      <c r="D23" s="370"/>
    </row>
  </sheetData>
  <sheetProtection/>
  <mergeCells count="3">
    <mergeCell ref="C23:D23"/>
    <mergeCell ref="B5:F5"/>
    <mergeCell ref="C20:E20"/>
  </mergeCells>
  <printOptions/>
  <pageMargins left="0.75" right="0.75" top="1" bottom="1" header="0.5" footer="0.5"/>
  <pageSetup fitToHeight="1" fitToWidth="1" horizontalDpi="600" verticalDpi="6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codeName="Sheet4">
    <tabColor indexed="51"/>
    <pageSetUpPr fitToPage="1"/>
  </sheetPr>
  <dimension ref="B6:AO24"/>
  <sheetViews>
    <sheetView showRowColHeaders="0" zoomScalePageLayoutView="0" workbookViewId="0" topLeftCell="A1">
      <selection activeCell="D17" sqref="D17"/>
    </sheetView>
  </sheetViews>
  <sheetFormatPr defaultColWidth="9.140625" defaultRowHeight="12.75"/>
  <cols>
    <col min="1" max="2" width="9.140625" style="5" customWidth="1"/>
    <col min="3" max="3" width="13.421875" style="5" customWidth="1"/>
    <col min="4" max="4" width="9.421875" style="5" bestFit="1" customWidth="1"/>
    <col min="5" max="5" width="9.140625" style="5" customWidth="1"/>
    <col min="6" max="6" width="9.28125" style="5" bestFit="1" customWidth="1"/>
    <col min="7" max="16384" width="9.140625" style="5" customWidth="1"/>
  </cols>
  <sheetData>
    <row r="1" s="1" customFormat="1" ht="12.75"/>
    <row r="2" s="1" customFormat="1" ht="12.75"/>
    <row r="3" s="1" customFormat="1" ht="12.75"/>
    <row r="4" s="1" customFormat="1" ht="12.75"/>
    <row r="6" spans="2:7" ht="18">
      <c r="B6" s="378"/>
      <c r="C6" s="378"/>
      <c r="D6" s="378"/>
      <c r="E6" s="378"/>
      <c r="F6" s="378"/>
      <c r="G6" s="378"/>
    </row>
    <row r="7" spans="3:5" ht="12.75">
      <c r="C7" s="370"/>
      <c r="D7" s="370"/>
      <c r="E7" s="370"/>
    </row>
    <row r="10" ht="13.5" thickBot="1">
      <c r="AO10" s="122" t="s">
        <v>92</v>
      </c>
    </row>
    <row r="11" spans="3:41" ht="30" customHeight="1" thickBot="1">
      <c r="C11" s="152" t="str">
        <f>Population!B11</f>
        <v>0-17 Years</v>
      </c>
      <c r="D11" s="231">
        <f>'data entry'!$C$14</f>
        <v>0.08807588075880757</v>
      </c>
      <c r="E11" s="149"/>
      <c r="AO11" s="150">
        <f>'data entry'!$C$14</f>
        <v>0.08807588075880757</v>
      </c>
    </row>
    <row r="12" spans="3:41" ht="6" customHeight="1">
      <c r="C12" s="151"/>
      <c r="E12" s="149"/>
      <c r="AO12" s="149"/>
    </row>
    <row r="13" spans="3:41" ht="6" customHeight="1" thickBot="1">
      <c r="C13" s="151"/>
      <c r="D13" s="149"/>
      <c r="E13" s="149"/>
      <c r="AO13" s="149"/>
    </row>
    <row r="14" spans="3:41" ht="30" customHeight="1" thickBot="1">
      <c r="C14" s="152" t="str">
        <f>Population!B14</f>
        <v>18-64 Years</v>
      </c>
      <c r="D14" s="231">
        <f>'data entry'!$D$14</f>
        <v>0.17477284874398719</v>
      </c>
      <c r="E14" s="149"/>
      <c r="AO14" s="150">
        <f>'data entry'!$D$14</f>
        <v>0.17477284874398719</v>
      </c>
    </row>
    <row r="15" spans="3:41" ht="6" customHeight="1">
      <c r="C15" s="151"/>
      <c r="E15" s="149"/>
      <c r="AO15" s="149"/>
    </row>
    <row r="16" spans="3:41" ht="6" customHeight="1" thickBot="1">
      <c r="C16" s="151"/>
      <c r="D16" s="149"/>
      <c r="E16" s="149"/>
      <c r="AO16" s="149"/>
    </row>
    <row r="17" spans="3:41" ht="30" customHeight="1" thickBot="1">
      <c r="C17" s="152" t="str">
        <f>Population!B17</f>
        <v>65+ Years</v>
      </c>
      <c r="D17" s="231">
        <f>'data entry'!$E$14</f>
        <v>0.4917127071823204</v>
      </c>
      <c r="E17" s="149"/>
      <c r="AO17" s="150">
        <f>'data entry'!$E$14</f>
        <v>0.4917127071823204</v>
      </c>
    </row>
    <row r="24" spans="5:6" ht="12.75">
      <c r="E24" s="370"/>
      <c r="F24" s="370"/>
    </row>
  </sheetData>
  <sheetProtection/>
  <mergeCells count="3">
    <mergeCell ref="E24:F24"/>
    <mergeCell ref="B6:G6"/>
    <mergeCell ref="C7:E7"/>
  </mergeCells>
  <printOptions/>
  <pageMargins left="0.75" right="0.75" top="1" bottom="1" header="0.5" footer="0.5"/>
  <pageSetup fitToHeight="1" fitToWidth="1" horizontalDpi="600" verticalDpi="600" orientation="landscape" r:id="rId3"/>
  <drawing r:id="rId2"/>
  <legacyDrawing r:id="rId1"/>
</worksheet>
</file>

<file path=xl/worksheets/sheet6.xml><?xml version="1.0" encoding="utf-8"?>
<worksheet xmlns="http://schemas.openxmlformats.org/spreadsheetml/2006/main" xmlns:r="http://schemas.openxmlformats.org/officeDocument/2006/relationships">
  <sheetPr codeName="Sheet21">
    <tabColor indexed="51"/>
    <pageSetUpPr fitToPage="1"/>
  </sheetPr>
  <dimension ref="A6:AS28"/>
  <sheetViews>
    <sheetView showRowColHeaders="0" zoomScalePageLayoutView="0" workbookViewId="0" topLeftCell="A1">
      <selection activeCell="B12" sqref="B12"/>
    </sheetView>
  </sheetViews>
  <sheetFormatPr defaultColWidth="9.140625" defaultRowHeight="12.75"/>
  <cols>
    <col min="1" max="1" width="17.421875" style="5" customWidth="1"/>
    <col min="2" max="2" width="11.00390625" style="5" customWidth="1"/>
    <col min="3" max="3" width="2.57421875" style="5" customWidth="1"/>
    <col min="4" max="4" width="7.140625" style="5" customWidth="1"/>
    <col min="5" max="5" width="5.28125" style="5" customWidth="1"/>
    <col min="6" max="6" width="3.421875" style="5" customWidth="1"/>
    <col min="7" max="7" width="10.140625" style="5" customWidth="1"/>
    <col min="8" max="8" width="12.00390625" style="5" customWidth="1"/>
    <col min="9" max="9" width="9.140625" style="5" customWidth="1"/>
    <col min="10" max="10" width="3.57421875" style="5" customWidth="1"/>
    <col min="11" max="11" width="7.8515625" style="5" customWidth="1"/>
    <col min="12" max="12" width="5.00390625" style="5" customWidth="1"/>
    <col min="13" max="13" width="3.57421875" style="5" customWidth="1"/>
    <col min="14" max="14" width="10.28125" style="5" customWidth="1"/>
    <col min="15" max="16384" width="9.140625" style="5" customWidth="1"/>
  </cols>
  <sheetData>
    <row r="1" s="1" customFormat="1" ht="12.75"/>
    <row r="2" s="1" customFormat="1" ht="12.75"/>
    <row r="3" s="1" customFormat="1" ht="12.75"/>
    <row r="4" s="1" customFormat="1" ht="12.75"/>
    <row r="5" ht="15.75" customHeight="1"/>
    <row r="6" spans="2:45" ht="18">
      <c r="B6" s="379" t="s">
        <v>239</v>
      </c>
      <c r="C6" s="380"/>
      <c r="D6" s="380"/>
      <c r="E6" s="380"/>
      <c r="F6" s="380"/>
      <c r="G6" s="380"/>
      <c r="AO6" s="379" t="s">
        <v>241</v>
      </c>
      <c r="AP6" s="380"/>
      <c r="AQ6" s="380"/>
      <c r="AR6" s="380"/>
      <c r="AS6" s="380"/>
    </row>
    <row r="7" spans="1:45" ht="12.75">
      <c r="A7" s="10"/>
      <c r="C7" s="10"/>
      <c r="D7" s="10"/>
      <c r="E7" s="10"/>
      <c r="F7" s="10"/>
      <c r="G7" s="10"/>
      <c r="AO7" s="10"/>
      <c r="AP7" s="10"/>
      <c r="AQ7" s="10"/>
      <c r="AR7" s="10"/>
      <c r="AS7" s="10"/>
    </row>
    <row r="8" ht="15" customHeight="1"/>
    <row r="9" spans="4:44" ht="12.75" customHeight="1">
      <c r="D9" s="383" t="s">
        <v>21</v>
      </c>
      <c r="E9" s="383"/>
      <c r="F9" s="11"/>
      <c r="AP9" s="383" t="s">
        <v>21</v>
      </c>
      <c r="AQ9" s="383"/>
      <c r="AR9" s="11"/>
    </row>
    <row r="10" spans="2:45" ht="12.75" customHeight="1" thickBot="1">
      <c r="B10" s="145" t="s">
        <v>291</v>
      </c>
      <c r="C10" s="7"/>
      <c r="D10" s="384" t="s">
        <v>23</v>
      </c>
      <c r="E10" s="384"/>
      <c r="F10" s="12"/>
      <c r="G10" s="145" t="s">
        <v>292</v>
      </c>
      <c r="AN10" s="145" t="s">
        <v>20</v>
      </c>
      <c r="AO10" s="7"/>
      <c r="AP10" s="384" t="s">
        <v>23</v>
      </c>
      <c r="AQ10" s="384"/>
      <c r="AR10" s="12"/>
      <c r="AS10" s="145" t="s">
        <v>24</v>
      </c>
    </row>
    <row r="11" spans="1:45" ht="15.75" customHeight="1" thickBot="1" thickTop="1">
      <c r="A11" s="143" t="s">
        <v>19</v>
      </c>
      <c r="B11" s="7"/>
      <c r="C11" s="7"/>
      <c r="D11" s="12"/>
      <c r="E11" s="12"/>
      <c r="F11" s="12"/>
      <c r="G11" s="7"/>
      <c r="AN11" s="7"/>
      <c r="AO11" s="7"/>
      <c r="AP11" s="12"/>
      <c r="AQ11" s="12"/>
      <c r="AR11" s="12"/>
      <c r="AS11" s="7"/>
    </row>
    <row r="12" spans="1:45" ht="15.75" thickBot="1">
      <c r="A12" s="144" t="str">
        <f>HighRisk_Age!C11</f>
        <v>0-17 Years</v>
      </c>
      <c r="B12" s="232">
        <f>'data entry'!$C$57</f>
        <v>0.825</v>
      </c>
      <c r="C12" s="126"/>
      <c r="D12" s="381">
        <f>'data entry'!$D$57</f>
        <v>0.8915</v>
      </c>
      <c r="E12" s="382"/>
      <c r="F12" s="127"/>
      <c r="G12" s="232">
        <f>'data entry'!$E$57</f>
        <v>0.958</v>
      </c>
      <c r="AN12" s="232">
        <f>'data entry'!$C$57</f>
        <v>0.825</v>
      </c>
      <c r="AO12" s="121"/>
      <c r="AP12" s="381">
        <f>'data entry'!$D$57</f>
        <v>0.8915</v>
      </c>
      <c r="AQ12" s="382"/>
      <c r="AR12" s="14"/>
      <c r="AS12" s="232">
        <f>'data entry'!$E$57</f>
        <v>0.958</v>
      </c>
    </row>
    <row r="13" spans="1:45" ht="13.5" thickBot="1">
      <c r="A13" s="123"/>
      <c r="B13" s="128"/>
      <c r="C13" s="128"/>
      <c r="D13" s="128"/>
      <c r="E13" s="128"/>
      <c r="F13" s="128"/>
      <c r="G13" s="128"/>
      <c r="AN13" s="6"/>
      <c r="AO13" s="6"/>
      <c r="AP13" s="6"/>
      <c r="AQ13" s="6"/>
      <c r="AR13" s="6"/>
      <c r="AS13" s="6"/>
    </row>
    <row r="14" spans="1:45" ht="15.75" thickBot="1">
      <c r="A14" s="144" t="str">
        <f>HighRisk_Age!C14</f>
        <v>18-64 Years</v>
      </c>
      <c r="B14" s="232">
        <f>'data entry'!$C$58</f>
        <v>0.583</v>
      </c>
      <c r="C14" s="126"/>
      <c r="D14" s="381">
        <f>'data entry'!$D$58</f>
        <v>0.615</v>
      </c>
      <c r="E14" s="382"/>
      <c r="F14" s="127"/>
      <c r="G14" s="232">
        <f>'data entry'!$E$58</f>
        <v>0.647</v>
      </c>
      <c r="AN14" s="232">
        <f>'data entry'!$C$58</f>
        <v>0.583</v>
      </c>
      <c r="AO14" s="6"/>
      <c r="AP14" s="381">
        <f>'data entry'!$D$58</f>
        <v>0.615</v>
      </c>
      <c r="AQ14" s="382"/>
      <c r="AR14" s="6"/>
      <c r="AS14" s="232">
        <f>'data entry'!$E$58</f>
        <v>0.647</v>
      </c>
    </row>
    <row r="15" spans="1:45" ht="13.5" thickBot="1">
      <c r="A15" s="123"/>
      <c r="B15" s="128"/>
      <c r="C15" s="128"/>
      <c r="D15" s="128"/>
      <c r="E15" s="128"/>
      <c r="F15" s="128"/>
      <c r="G15" s="128"/>
      <c r="AN15" s="6"/>
      <c r="AO15" s="6"/>
      <c r="AP15" s="6"/>
      <c r="AQ15" s="6"/>
      <c r="AR15" s="6"/>
      <c r="AS15" s="6"/>
    </row>
    <row r="16" spans="1:45" ht="15.75" thickBot="1">
      <c r="A16" s="144" t="str">
        <f>HighRisk_Age!C17</f>
        <v>65+ Years</v>
      </c>
      <c r="B16" s="232">
        <f>'data entry'!$C$59</f>
        <v>0.656</v>
      </c>
      <c r="C16" s="126"/>
      <c r="D16" s="381">
        <f>'data entry'!$D$59</f>
        <v>0.669</v>
      </c>
      <c r="E16" s="382"/>
      <c r="F16" s="127"/>
      <c r="G16" s="232">
        <f>'data entry'!$E$59</f>
        <v>0.682</v>
      </c>
      <c r="AN16" s="232">
        <f>'data entry'!$C$59</f>
        <v>0.656</v>
      </c>
      <c r="AO16" s="6"/>
      <c r="AP16" s="381">
        <f>'data entry'!$D$59</f>
        <v>0.669</v>
      </c>
      <c r="AQ16" s="382"/>
      <c r="AR16" s="6"/>
      <c r="AS16" s="232">
        <f>'data entry'!$E$59</f>
        <v>0.682</v>
      </c>
    </row>
    <row r="17" spans="1:45" ht="3" customHeight="1">
      <c r="A17" s="123"/>
      <c r="B17" s="125"/>
      <c r="C17" s="125"/>
      <c r="D17" s="125"/>
      <c r="E17" s="125"/>
      <c r="F17" s="125"/>
      <c r="G17" s="125"/>
      <c r="AN17" s="6"/>
      <c r="AO17" s="6"/>
      <c r="AP17" s="6"/>
      <c r="AQ17" s="6"/>
      <c r="AR17" s="6"/>
      <c r="AS17" s="6"/>
    </row>
    <row r="18" spans="1:45" ht="3" customHeight="1">
      <c r="A18" s="123"/>
      <c r="B18" s="125"/>
      <c r="C18" s="125"/>
      <c r="D18" s="125"/>
      <c r="E18" s="125"/>
      <c r="F18" s="125"/>
      <c r="G18" s="125"/>
      <c r="AN18" s="6"/>
      <c r="AO18" s="6"/>
      <c r="AP18" s="6"/>
      <c r="AQ18" s="6"/>
      <c r="AR18" s="6"/>
      <c r="AS18" s="6"/>
    </row>
    <row r="19" spans="1:45" ht="16.5" thickBot="1">
      <c r="A19" s="143" t="s">
        <v>25</v>
      </c>
      <c r="B19" s="125"/>
      <c r="C19" s="125"/>
      <c r="D19" s="125"/>
      <c r="E19" s="125"/>
      <c r="F19" s="125"/>
      <c r="G19" s="125"/>
      <c r="AN19" s="6"/>
      <c r="AO19" s="6"/>
      <c r="AP19" s="6"/>
      <c r="AQ19" s="6"/>
      <c r="AR19" s="6"/>
      <c r="AS19" s="6"/>
    </row>
    <row r="20" spans="1:45" ht="13.5" thickBot="1">
      <c r="A20" s="123" t="str">
        <f>A12</f>
        <v>0-17 Years</v>
      </c>
      <c r="B20" s="232">
        <f>'data entry'!$C$62</f>
        <v>0.471</v>
      </c>
      <c r="C20" s="125"/>
      <c r="D20" s="381">
        <f>'data entry'!$D$62</f>
        <v>0.5095</v>
      </c>
      <c r="E20" s="382"/>
      <c r="F20" s="125"/>
      <c r="G20" s="232">
        <f>'data entry'!$E$62</f>
        <v>0.548</v>
      </c>
      <c r="AN20" s="232">
        <f>'data entry'!$C$62</f>
        <v>0.471</v>
      </c>
      <c r="AO20" s="6"/>
      <c r="AP20" s="381">
        <f>'data entry'!$D$62</f>
        <v>0.5095</v>
      </c>
      <c r="AQ20" s="382"/>
      <c r="AR20" s="6"/>
      <c r="AS20" s="232">
        <f>'data entry'!$E$62</f>
        <v>0.548</v>
      </c>
    </row>
    <row r="21" spans="1:45" ht="13.5" thickBot="1">
      <c r="A21" s="123"/>
      <c r="B21" s="6"/>
      <c r="C21" s="125"/>
      <c r="D21" s="6"/>
      <c r="E21" s="125"/>
      <c r="F21" s="125"/>
      <c r="G21" s="6"/>
      <c r="AN21" s="6"/>
      <c r="AO21" s="6"/>
      <c r="AP21" s="6"/>
      <c r="AQ21" s="6"/>
      <c r="AR21" s="6"/>
      <c r="AS21" s="6"/>
    </row>
    <row r="22" spans="1:45" ht="13.5" thickBot="1">
      <c r="A22" s="123" t="str">
        <f>A14</f>
        <v>18-64 Years</v>
      </c>
      <c r="B22" s="232">
        <f>'data entry'!$C$63</f>
        <v>0.333</v>
      </c>
      <c r="C22" s="125"/>
      <c r="D22" s="381">
        <f>'data entry'!$D$63</f>
        <v>0.3515</v>
      </c>
      <c r="E22" s="382"/>
      <c r="F22" s="125"/>
      <c r="G22" s="232">
        <f>'data entry'!$E$63</f>
        <v>0.37</v>
      </c>
      <c r="AN22" s="232">
        <f>'data entry'!$C$63</f>
        <v>0.333</v>
      </c>
      <c r="AO22" s="6"/>
      <c r="AP22" s="381">
        <f>'data entry'!$D$63</f>
        <v>0.3515</v>
      </c>
      <c r="AQ22" s="382"/>
      <c r="AR22" s="6"/>
      <c r="AS22" s="232">
        <f>'data entry'!$E$63</f>
        <v>0.37</v>
      </c>
    </row>
    <row r="23" spans="1:45" ht="13.5" thickBot="1">
      <c r="A23" s="123"/>
      <c r="B23" s="6"/>
      <c r="C23" s="125"/>
      <c r="D23" s="6"/>
      <c r="E23" s="125"/>
      <c r="F23" s="125"/>
      <c r="G23" s="6"/>
      <c r="AN23" s="6"/>
      <c r="AO23" s="6"/>
      <c r="AP23" s="6"/>
      <c r="AQ23" s="6"/>
      <c r="AR23" s="6"/>
      <c r="AS23" s="6"/>
    </row>
    <row r="24" spans="1:45" ht="13.5" thickBot="1">
      <c r="A24" s="123" t="str">
        <f>A16</f>
        <v>65+ Years</v>
      </c>
      <c r="B24" s="232">
        <f>'data entry'!$C$64</f>
        <v>0.375</v>
      </c>
      <c r="C24" s="125"/>
      <c r="D24" s="381">
        <f>'data entry'!$D$64</f>
        <v>0.382</v>
      </c>
      <c r="E24" s="382"/>
      <c r="F24" s="125"/>
      <c r="G24" s="232">
        <f>'data entry'!$E$64</f>
        <v>0.389</v>
      </c>
      <c r="AN24" s="232">
        <f>'data entry'!$C$64</f>
        <v>0.375</v>
      </c>
      <c r="AO24" s="6"/>
      <c r="AP24" s="381">
        <f>'data entry'!$D$64</f>
        <v>0.382</v>
      </c>
      <c r="AQ24" s="382"/>
      <c r="AR24" s="6"/>
      <c r="AS24" s="232">
        <f>'data entry'!$E$64</f>
        <v>0.389</v>
      </c>
    </row>
    <row r="26" spans="1:7" ht="18.75" hidden="1" thickBot="1">
      <c r="A26" s="379"/>
      <c r="B26" s="380"/>
      <c r="C26" s="380"/>
      <c r="D26" s="380"/>
      <c r="E26" s="380"/>
      <c r="F26" s="380"/>
      <c r="G26" s="211">
        <v>0</v>
      </c>
    </row>
    <row r="27" ht="6.75" customHeight="1"/>
    <row r="28" ht="15">
      <c r="E28" s="153"/>
    </row>
  </sheetData>
  <sheetProtection/>
  <mergeCells count="19">
    <mergeCell ref="AP24:AQ24"/>
    <mergeCell ref="AO6:AS6"/>
    <mergeCell ref="AP14:AQ14"/>
    <mergeCell ref="AP16:AQ16"/>
    <mergeCell ref="AP20:AQ20"/>
    <mergeCell ref="AP22:AQ22"/>
    <mergeCell ref="AP9:AQ9"/>
    <mergeCell ref="AP10:AQ10"/>
    <mergeCell ref="AP12:AQ12"/>
    <mergeCell ref="B6:G6"/>
    <mergeCell ref="D24:E24"/>
    <mergeCell ref="A26:F26"/>
    <mergeCell ref="D14:E14"/>
    <mergeCell ref="D16:E16"/>
    <mergeCell ref="D20:E20"/>
    <mergeCell ref="D9:E9"/>
    <mergeCell ref="D10:E10"/>
    <mergeCell ref="D12:E12"/>
    <mergeCell ref="D22:E22"/>
  </mergeCells>
  <printOptions/>
  <pageMargins left="0.75" right="0.75" top="1" bottom="1" header="0.5" footer="0.5"/>
  <pageSetup fitToHeight="1" fitToWidth="1" horizontalDpi="600" verticalDpi="600" orientation="landscape" scale="89" r:id="rId3"/>
  <drawing r:id="rId2"/>
  <legacyDrawing r:id="rId1"/>
</worksheet>
</file>

<file path=xl/worksheets/sheet7.xml><?xml version="1.0" encoding="utf-8"?>
<worksheet xmlns="http://schemas.openxmlformats.org/spreadsheetml/2006/main" xmlns:r="http://schemas.openxmlformats.org/officeDocument/2006/relationships">
  <sheetPr codeName="Sheet20">
    <tabColor indexed="51"/>
    <pageSetUpPr fitToPage="1"/>
  </sheetPr>
  <dimension ref="A6:AS28"/>
  <sheetViews>
    <sheetView showRowColHeaders="0" zoomScalePageLayoutView="0" workbookViewId="0" topLeftCell="A1">
      <selection activeCell="B12" sqref="B12"/>
    </sheetView>
  </sheetViews>
  <sheetFormatPr defaultColWidth="9.140625" defaultRowHeight="12.75"/>
  <cols>
    <col min="1" max="1" width="13.57421875" style="5" customWidth="1"/>
    <col min="2" max="2" width="11.00390625" style="5" customWidth="1"/>
    <col min="3" max="3" width="2.57421875" style="5" customWidth="1"/>
    <col min="4" max="4" width="7.140625" style="5" customWidth="1"/>
    <col min="5" max="5" width="5.28125" style="5" customWidth="1"/>
    <col min="6" max="6" width="3.421875" style="5" customWidth="1"/>
    <col min="7" max="7" width="10.140625" style="5" customWidth="1"/>
    <col min="8" max="8" width="12.00390625" style="5" customWidth="1"/>
    <col min="9" max="9" width="9.140625" style="5" customWidth="1"/>
    <col min="10" max="10" width="3.57421875" style="5" customWidth="1"/>
    <col min="11" max="11" width="7.8515625" style="5" customWidth="1"/>
    <col min="12" max="12" width="5.00390625" style="5" customWidth="1"/>
    <col min="13" max="13" width="3.57421875" style="5" customWidth="1"/>
    <col min="14" max="14" width="10.28125" style="5" customWidth="1"/>
    <col min="15" max="16384" width="9.140625" style="5" customWidth="1"/>
  </cols>
  <sheetData>
    <row r="1" s="1" customFormat="1" ht="12.75"/>
    <row r="2" s="1" customFormat="1" ht="12.75"/>
    <row r="3" s="1" customFormat="1" ht="12.75"/>
    <row r="4" s="1" customFormat="1" ht="12.75"/>
    <row r="5" ht="15.75" customHeight="1"/>
    <row r="6" spans="2:14" ht="18">
      <c r="B6" s="379" t="s">
        <v>238</v>
      </c>
      <c r="C6" s="380"/>
      <c r="D6" s="380"/>
      <c r="E6" s="380"/>
      <c r="F6" s="380"/>
      <c r="G6" s="380"/>
      <c r="J6" s="379"/>
      <c r="K6" s="380"/>
      <c r="L6" s="380"/>
      <c r="M6" s="380"/>
      <c r="N6" s="380"/>
    </row>
    <row r="7" spans="2:14" ht="12.75">
      <c r="B7" s="10"/>
      <c r="C7" s="10"/>
      <c r="D7" s="10"/>
      <c r="E7" s="10"/>
      <c r="F7" s="10"/>
      <c r="G7" s="10"/>
      <c r="J7" s="10"/>
      <c r="K7" s="10"/>
      <c r="L7" s="10"/>
      <c r="M7" s="10"/>
      <c r="N7" s="10"/>
    </row>
    <row r="8" ht="13.5" customHeight="1"/>
    <row r="9" spans="4:44" ht="12.75" customHeight="1">
      <c r="D9" s="383" t="s">
        <v>21</v>
      </c>
      <c r="E9" s="383"/>
      <c r="F9" s="11"/>
      <c r="AP9" s="383" t="s">
        <v>21</v>
      </c>
      <c r="AQ9" s="383"/>
      <c r="AR9" s="11"/>
    </row>
    <row r="10" spans="1:45" ht="18" customHeight="1" thickBot="1">
      <c r="A10" s="146" t="s">
        <v>19</v>
      </c>
      <c r="B10" s="145" t="s">
        <v>291</v>
      </c>
      <c r="C10" s="7"/>
      <c r="D10" s="384" t="s">
        <v>23</v>
      </c>
      <c r="E10" s="384"/>
      <c r="F10" s="12"/>
      <c r="G10" s="145" t="s">
        <v>292</v>
      </c>
      <c r="AN10" s="145" t="s">
        <v>20</v>
      </c>
      <c r="AO10" s="7"/>
      <c r="AP10" s="384" t="s">
        <v>23</v>
      </c>
      <c r="AQ10" s="384"/>
      <c r="AR10" s="12"/>
      <c r="AS10" s="145" t="s">
        <v>24</v>
      </c>
    </row>
    <row r="11" spans="1:45" ht="12.75" customHeight="1" thickBot="1" thickTop="1">
      <c r="A11" s="7"/>
      <c r="B11" s="7"/>
      <c r="C11" s="7"/>
      <c r="D11" s="12"/>
      <c r="E11" s="12"/>
      <c r="F11" s="12"/>
      <c r="G11" s="7"/>
      <c r="AN11" s="7"/>
      <c r="AO11" s="7"/>
      <c r="AP11" s="12"/>
      <c r="AQ11" s="12"/>
      <c r="AR11" s="12"/>
      <c r="AS11" s="7"/>
    </row>
    <row r="12" spans="1:45" ht="15.75" thickBot="1">
      <c r="A12" s="13" t="str">
        <f>HighRisk_Age!C11</f>
        <v>0-17 Years</v>
      </c>
      <c r="B12" s="230">
        <f>'data entry'!$C$42</f>
        <v>0.021051358722419488</v>
      </c>
      <c r="C12" s="126"/>
      <c r="D12" s="385">
        <f>'data entry'!$D$42</f>
        <v>0.025486366833763423</v>
      </c>
      <c r="E12" s="386"/>
      <c r="F12" s="127"/>
      <c r="G12" s="230">
        <f>'data entry'!$E$42</f>
        <v>0.028641116533807378</v>
      </c>
      <c r="AN12" s="230">
        <f>'data entry'!$C$42</f>
        <v>0.021051358722419488</v>
      </c>
      <c r="AO12" s="104"/>
      <c r="AP12" s="385">
        <f>'data entry'!$D$42</f>
        <v>0.025486366833763423</v>
      </c>
      <c r="AQ12" s="386"/>
      <c r="AR12" s="105"/>
      <c r="AS12" s="230">
        <f>'data entry'!$E$42</f>
        <v>0.028641116533807378</v>
      </c>
    </row>
    <row r="13" spans="2:45" ht="13.5" thickBot="1">
      <c r="B13" s="128"/>
      <c r="C13" s="128"/>
      <c r="D13" s="128"/>
      <c r="E13" s="128"/>
      <c r="F13" s="128"/>
      <c r="G13" s="128"/>
      <c r="AN13" s="106"/>
      <c r="AO13" s="106"/>
      <c r="AP13" s="106"/>
      <c r="AQ13" s="106"/>
      <c r="AR13" s="106"/>
      <c r="AS13" s="106"/>
    </row>
    <row r="14" spans="1:45" ht="15.75" thickBot="1">
      <c r="A14" s="13" t="str">
        <f>HighRisk_Age!C14</f>
        <v>18-64 Years</v>
      </c>
      <c r="B14" s="230">
        <f>'data entry'!$C$43</f>
        <v>0.018997356432656678</v>
      </c>
      <c r="C14" s="128"/>
      <c r="D14" s="385">
        <f>'data entry'!$D$43</f>
        <v>0.023003003535661874</v>
      </c>
      <c r="E14" s="386"/>
      <c r="F14" s="128"/>
      <c r="G14" s="230">
        <f>'data entry'!$E$43</f>
        <v>0.02585191728537838</v>
      </c>
      <c r="AN14" s="230">
        <f>'data entry'!$C$43</f>
        <v>0.018997356432656678</v>
      </c>
      <c r="AO14" s="106"/>
      <c r="AP14" s="385">
        <f>'data entry'!$D$43</f>
        <v>0.023003003535661874</v>
      </c>
      <c r="AQ14" s="386"/>
      <c r="AR14" s="106"/>
      <c r="AS14" s="230">
        <f>'data entry'!$E$43</f>
        <v>0.02585191728537838</v>
      </c>
    </row>
    <row r="15" spans="2:45" ht="13.5" thickBot="1">
      <c r="B15" s="128"/>
      <c r="C15" s="128"/>
      <c r="D15" s="128"/>
      <c r="E15" s="128"/>
      <c r="F15" s="128"/>
      <c r="G15" s="128"/>
      <c r="AN15" s="106"/>
      <c r="AO15" s="106"/>
      <c r="AP15" s="106"/>
      <c r="AQ15" s="106"/>
      <c r="AR15" s="106"/>
      <c r="AS15" s="106"/>
    </row>
    <row r="16" spans="1:45" ht="15.75" thickBot="1">
      <c r="A16" s="13" t="str">
        <f>HighRisk_Age!C17</f>
        <v>65+ Years</v>
      </c>
      <c r="B16" s="230">
        <f>'data entry'!$C$44</f>
        <v>0.0210340038765009</v>
      </c>
      <c r="C16" s="128"/>
      <c r="D16" s="385">
        <f>'data entry'!$D$44</f>
        <v>0.02547376346577088</v>
      </c>
      <c r="E16" s="386"/>
      <c r="F16" s="128"/>
      <c r="G16" s="230">
        <f>'data entry'!$E$44</f>
        <v>0.028636896346454353</v>
      </c>
      <c r="AN16" s="230">
        <f>'data entry'!$C$44</f>
        <v>0.0210340038765009</v>
      </c>
      <c r="AO16" s="106"/>
      <c r="AP16" s="385">
        <f>'data entry'!$D$44</f>
        <v>0.02547376346577088</v>
      </c>
      <c r="AQ16" s="386"/>
      <c r="AR16" s="106"/>
      <c r="AS16" s="230">
        <f>'data entry'!$E$44</f>
        <v>0.028636896346454353</v>
      </c>
    </row>
    <row r="17" spans="2:45" ht="3" customHeight="1">
      <c r="B17" s="125"/>
      <c r="C17" s="125"/>
      <c r="D17" s="125"/>
      <c r="E17" s="125"/>
      <c r="F17" s="125"/>
      <c r="G17" s="125"/>
      <c r="AN17" s="106"/>
      <c r="AO17" s="106"/>
      <c r="AP17" s="106"/>
      <c r="AQ17" s="106"/>
      <c r="AR17" s="106"/>
      <c r="AS17" s="106"/>
    </row>
    <row r="18" spans="2:45" ht="3" customHeight="1">
      <c r="B18" s="125"/>
      <c r="C18" s="125"/>
      <c r="D18" s="125"/>
      <c r="E18" s="125"/>
      <c r="F18" s="125"/>
      <c r="G18" s="125"/>
      <c r="AN18" s="106"/>
      <c r="AO18" s="106"/>
      <c r="AP18" s="106"/>
      <c r="AQ18" s="106"/>
      <c r="AR18" s="106"/>
      <c r="AS18" s="106"/>
    </row>
    <row r="19" spans="1:45" ht="15.75">
      <c r="A19" s="146" t="s">
        <v>25</v>
      </c>
      <c r="B19" s="125"/>
      <c r="C19" s="125"/>
      <c r="D19" s="125"/>
      <c r="E19" s="125"/>
      <c r="F19" s="125"/>
      <c r="G19" s="125"/>
      <c r="AN19" s="106"/>
      <c r="AO19" s="106"/>
      <c r="AP19" s="106"/>
      <c r="AQ19" s="106"/>
      <c r="AR19" s="106"/>
      <c r="AS19" s="106"/>
    </row>
    <row r="20" spans="2:45" ht="13.5" thickBot="1">
      <c r="B20" s="125"/>
      <c r="C20" s="125"/>
      <c r="D20" s="125"/>
      <c r="E20" s="125"/>
      <c r="F20" s="125"/>
      <c r="G20" s="125"/>
      <c r="AN20" s="106"/>
      <c r="AO20" s="106"/>
      <c r="AP20" s="106"/>
      <c r="AQ20" s="106"/>
      <c r="AR20" s="106"/>
      <c r="AS20" s="106"/>
    </row>
    <row r="21" spans="1:45" ht="13.5" thickBot="1">
      <c r="A21" s="5" t="str">
        <f>A12</f>
        <v>0-17 Years</v>
      </c>
      <c r="B21" s="230">
        <f>'data entry'!$C$47</f>
        <v>0.0014128962398380115</v>
      </c>
      <c r="C21" s="125"/>
      <c r="D21" s="385">
        <f>'data entry'!$D$47</f>
        <v>0.0017105590352325666</v>
      </c>
      <c r="E21" s="386"/>
      <c r="F21" s="125"/>
      <c r="G21" s="230">
        <f>'data entry'!$E$47</f>
        <v>0.0019222952014152834</v>
      </c>
      <c r="AN21" s="230">
        <f>'data entry'!$C$47</f>
        <v>0.0014128962398380115</v>
      </c>
      <c r="AO21" s="106"/>
      <c r="AP21" s="385">
        <f>'data entry'!$D$47</f>
        <v>0.0017105590352325666</v>
      </c>
      <c r="AQ21" s="386"/>
      <c r="AR21" s="106"/>
      <c r="AS21" s="230">
        <f>'data entry'!$E$47</f>
        <v>0.0019222952014152834</v>
      </c>
    </row>
    <row r="22" spans="2:45" ht="13.5" thickBot="1">
      <c r="B22" s="125"/>
      <c r="C22" s="125"/>
      <c r="D22" s="125"/>
      <c r="E22" s="125"/>
      <c r="F22" s="125"/>
      <c r="G22" s="125"/>
      <c r="AN22" s="106"/>
      <c r="AO22" s="106"/>
      <c r="AP22" s="106"/>
      <c r="AQ22" s="106"/>
      <c r="AR22" s="106"/>
      <c r="AS22" s="106"/>
    </row>
    <row r="23" spans="1:45" ht="13.5" thickBot="1">
      <c r="A23" s="5" t="str">
        <f>A14</f>
        <v>18-64 Years</v>
      </c>
      <c r="B23" s="230">
        <f>'data entry'!$C$48</f>
        <v>0.0009437613982928413</v>
      </c>
      <c r="C23" s="125"/>
      <c r="D23" s="385">
        <f>'data entry'!$D$48</f>
        <v>0.0011427561965638969</v>
      </c>
      <c r="E23" s="386"/>
      <c r="F23" s="125"/>
      <c r="G23" s="230">
        <f>'data entry'!$E$48</f>
        <v>0.0012842861422476155</v>
      </c>
      <c r="AN23" s="230">
        <f>'data entry'!$C$48</f>
        <v>0.0009437613982928413</v>
      </c>
      <c r="AO23" s="106"/>
      <c r="AP23" s="385">
        <f>'data entry'!$D$48</f>
        <v>0.0011427561965638969</v>
      </c>
      <c r="AQ23" s="386"/>
      <c r="AR23" s="106"/>
      <c r="AS23" s="230">
        <f>'data entry'!$E$48</f>
        <v>0.0012842861422476155</v>
      </c>
    </row>
    <row r="24" spans="2:45" ht="13.5" thickBot="1">
      <c r="B24" s="125"/>
      <c r="C24" s="125"/>
      <c r="D24" s="125"/>
      <c r="E24" s="125"/>
      <c r="F24" s="125"/>
      <c r="G24" s="125"/>
      <c r="AN24" s="106"/>
      <c r="AO24" s="106"/>
      <c r="AP24" s="106"/>
      <c r="AQ24" s="106"/>
      <c r="AR24" s="106"/>
      <c r="AS24" s="106"/>
    </row>
    <row r="25" spans="1:45" ht="13.5" thickBot="1">
      <c r="A25" s="5" t="str">
        <f>A16</f>
        <v>65+ Years</v>
      </c>
      <c r="B25" s="230">
        <f>'data entry'!$C$49</f>
        <v>0.004773014030483495</v>
      </c>
      <c r="C25" s="125"/>
      <c r="D25" s="385">
        <f>'data entry'!$D$49</f>
        <v>0.005780479605558045</v>
      </c>
      <c r="E25" s="386"/>
      <c r="F25" s="125"/>
      <c r="G25" s="230">
        <f>'data entry'!$E$49</f>
        <v>0.006498254391016409</v>
      </c>
      <c r="AN25" s="230">
        <f>'data entry'!$C$49</f>
        <v>0.004773014030483495</v>
      </c>
      <c r="AO25" s="106"/>
      <c r="AP25" s="385">
        <f>'data entry'!$D$49</f>
        <v>0.005780479605558045</v>
      </c>
      <c r="AQ25" s="386"/>
      <c r="AR25" s="106"/>
      <c r="AS25" s="230">
        <f>'data entry'!$E$49</f>
        <v>0.006498254391016409</v>
      </c>
    </row>
    <row r="28" spans="5:6" ht="12.75">
      <c r="E28" s="370"/>
      <c r="F28" s="370"/>
    </row>
  </sheetData>
  <sheetProtection/>
  <mergeCells count="19">
    <mergeCell ref="B6:G6"/>
    <mergeCell ref="E28:F28"/>
    <mergeCell ref="D9:E9"/>
    <mergeCell ref="D10:E10"/>
    <mergeCell ref="D12:E12"/>
    <mergeCell ref="D23:E23"/>
    <mergeCell ref="D25:E25"/>
    <mergeCell ref="D14:E14"/>
    <mergeCell ref="D16:E16"/>
    <mergeCell ref="D21:E21"/>
    <mergeCell ref="AP25:AQ25"/>
    <mergeCell ref="J6:N6"/>
    <mergeCell ref="AP14:AQ14"/>
    <mergeCell ref="AP16:AQ16"/>
    <mergeCell ref="AP21:AQ21"/>
    <mergeCell ref="AP23:AQ23"/>
    <mergeCell ref="AP9:AQ9"/>
    <mergeCell ref="AP10:AQ10"/>
    <mergeCell ref="AP12:AQ12"/>
  </mergeCells>
  <printOptions/>
  <pageMargins left="0.75" right="0.75" top="1" bottom="1" header="0.5" footer="0.5"/>
  <pageSetup fitToHeight="1" fitToWidth="1" horizontalDpi="600" verticalDpi="600" orientation="landscape" scale="86" r:id="rId3"/>
  <drawing r:id="rId2"/>
  <legacyDrawing r:id="rId1"/>
</worksheet>
</file>

<file path=xl/worksheets/sheet8.xml><?xml version="1.0" encoding="utf-8"?>
<worksheet xmlns="http://schemas.openxmlformats.org/spreadsheetml/2006/main" xmlns:r="http://schemas.openxmlformats.org/officeDocument/2006/relationships">
  <sheetPr codeName="Sheet5">
    <tabColor indexed="51"/>
    <pageSetUpPr fitToPage="1"/>
  </sheetPr>
  <dimension ref="A6:AS48"/>
  <sheetViews>
    <sheetView showRowColHeaders="0" zoomScaleSheetLayoutView="100" zoomScalePageLayoutView="0" workbookViewId="0" topLeftCell="A1">
      <selection activeCell="B12" sqref="B12"/>
    </sheetView>
  </sheetViews>
  <sheetFormatPr defaultColWidth="9.140625" defaultRowHeight="12.75"/>
  <cols>
    <col min="1" max="1" width="17.421875" style="5" customWidth="1"/>
    <col min="2" max="2" width="11.00390625" style="5" customWidth="1"/>
    <col min="3" max="3" width="2.57421875" style="5" customWidth="1"/>
    <col min="4" max="4" width="7.140625" style="5" customWidth="1"/>
    <col min="5" max="5" width="5.28125" style="5" customWidth="1"/>
    <col min="6" max="6" width="3.421875" style="5" customWidth="1"/>
    <col min="7" max="7" width="10.140625" style="5" customWidth="1"/>
    <col min="8" max="8" width="12.00390625" style="5" customWidth="1"/>
    <col min="9" max="9" width="9.140625" style="5" customWidth="1"/>
    <col min="10" max="10" width="3.57421875" style="5" customWidth="1"/>
    <col min="11" max="11" width="7.8515625" style="5" customWidth="1"/>
    <col min="12" max="12" width="5.00390625" style="5" customWidth="1"/>
    <col min="13" max="13" width="3.57421875" style="5" customWidth="1"/>
    <col min="14" max="14" width="10.28125" style="5" customWidth="1"/>
    <col min="15" max="16384" width="9.140625" style="5" customWidth="1"/>
  </cols>
  <sheetData>
    <row r="1" s="1" customFormat="1" ht="12.75"/>
    <row r="2" s="1" customFormat="1" ht="12.75"/>
    <row r="3" s="1" customFormat="1" ht="12.75"/>
    <row r="4" s="1" customFormat="1" ht="12.75"/>
    <row r="5" ht="15.75" customHeight="1"/>
    <row r="6" spans="4:45" ht="18">
      <c r="D6" s="379" t="s">
        <v>237</v>
      </c>
      <c r="E6" s="379"/>
      <c r="F6" s="379"/>
      <c r="AO6" s="379" t="s">
        <v>241</v>
      </c>
      <c r="AP6" s="380"/>
      <c r="AQ6" s="380"/>
      <c r="AR6" s="380"/>
      <c r="AS6" s="380"/>
    </row>
    <row r="7" spans="2:45" ht="12.75">
      <c r="B7" s="10"/>
      <c r="C7" s="10"/>
      <c r="D7" s="10"/>
      <c r="E7" s="10"/>
      <c r="F7" s="10"/>
      <c r="G7" s="10"/>
      <c r="H7" s="10"/>
      <c r="AN7" s="10"/>
      <c r="AO7" s="10"/>
      <c r="AP7" s="10"/>
      <c r="AQ7" s="10"/>
      <c r="AR7" s="10"/>
      <c r="AS7" s="10"/>
    </row>
    <row r="8" ht="12" customHeight="1"/>
    <row r="9" spans="4:44" ht="15.75" customHeight="1">
      <c r="D9" s="383" t="s">
        <v>21</v>
      </c>
      <c r="E9" s="383"/>
      <c r="F9" s="11"/>
      <c r="AP9" s="383" t="s">
        <v>21</v>
      </c>
      <c r="AQ9" s="383"/>
      <c r="AR9" s="11"/>
    </row>
    <row r="10" spans="1:45" ht="14.25" customHeight="1" thickBot="1">
      <c r="A10" s="9" t="s">
        <v>19</v>
      </c>
      <c r="B10" s="145" t="s">
        <v>291</v>
      </c>
      <c r="C10" s="7"/>
      <c r="D10" s="384" t="s">
        <v>23</v>
      </c>
      <c r="E10" s="384"/>
      <c r="F10" s="12"/>
      <c r="G10" s="145" t="s">
        <v>292</v>
      </c>
      <c r="AN10" s="9" t="s">
        <v>20</v>
      </c>
      <c r="AO10" s="7"/>
      <c r="AP10" s="355" t="s">
        <v>23</v>
      </c>
      <c r="AQ10" s="355"/>
      <c r="AR10" s="12"/>
      <c r="AS10" s="9" t="s">
        <v>24</v>
      </c>
    </row>
    <row r="11" spans="1:45" ht="12.75" customHeight="1" thickBot="1" thickTop="1">
      <c r="A11" s="143"/>
      <c r="B11" s="7"/>
      <c r="C11" s="7"/>
      <c r="D11" s="12"/>
      <c r="E11" s="12"/>
      <c r="F11" s="12"/>
      <c r="G11" s="7"/>
      <c r="AN11" s="7"/>
      <c r="AO11" s="7"/>
      <c r="AP11" s="12"/>
      <c r="AQ11" s="12"/>
      <c r="AR11" s="12"/>
      <c r="AS11" s="7"/>
    </row>
    <row r="12" spans="1:45" ht="15.75" thickBot="1">
      <c r="A12" s="144" t="str">
        <f>HighRisk_Age!C11</f>
        <v>0-17 Years</v>
      </c>
      <c r="B12" s="329">
        <f>'data entry'!$C$27</f>
        <v>0.00039791306646055067</v>
      </c>
      <c r="C12" s="243"/>
      <c r="D12" s="387">
        <f>'data entry'!$D$27</f>
        <v>0.0004817525603660583</v>
      </c>
      <c r="E12" s="388"/>
      <c r="F12" s="244"/>
      <c r="G12" s="329">
        <f>'data entry'!$E$27</f>
        <v>0.0005413919795805678</v>
      </c>
      <c r="AN12" s="329">
        <f>'data entry'!$C$27</f>
        <v>0.00039791306646055067</v>
      </c>
      <c r="AO12" s="243"/>
      <c r="AP12" s="387">
        <f>'data entry'!$D$27</f>
        <v>0.0004817525603660583</v>
      </c>
      <c r="AQ12" s="388"/>
      <c r="AR12" s="244"/>
      <c r="AS12" s="329">
        <f>'data entry'!$E$27</f>
        <v>0.0005413919795805678</v>
      </c>
    </row>
    <row r="13" spans="1:45" ht="13.5" thickBot="1">
      <c r="A13" s="123"/>
      <c r="B13" s="245"/>
      <c r="C13" s="245"/>
      <c r="D13" s="245"/>
      <c r="E13" s="245"/>
      <c r="F13" s="245"/>
      <c r="G13" s="245"/>
      <c r="AN13" s="245"/>
      <c r="AO13" s="245"/>
      <c r="AP13" s="245"/>
      <c r="AQ13" s="245"/>
      <c r="AR13" s="245"/>
      <c r="AS13" s="245"/>
    </row>
    <row r="14" spans="1:45" ht="15.75" thickBot="1">
      <c r="A14" s="144" t="str">
        <f>HighRisk_Age!C14</f>
        <v>18-64 Years</v>
      </c>
      <c r="B14" s="329">
        <f>'data entry'!$C$28</f>
        <v>0.0016959625413596885</v>
      </c>
      <c r="C14" s="245"/>
      <c r="D14" s="387">
        <f>'data entry'!$D$28</f>
        <v>0.002053298070747229</v>
      </c>
      <c r="E14" s="388"/>
      <c r="F14" s="245"/>
      <c r="G14" s="329">
        <f>'data entry'!$E$28</f>
        <v>0.0023074891581277897</v>
      </c>
      <c r="AN14" s="329">
        <f>'data entry'!$C$28</f>
        <v>0.0016959625413596885</v>
      </c>
      <c r="AO14" s="245"/>
      <c r="AP14" s="387">
        <f>'data entry'!$D$28</f>
        <v>0.002053298070747229</v>
      </c>
      <c r="AQ14" s="388"/>
      <c r="AR14" s="245"/>
      <c r="AS14" s="329">
        <f>'data entry'!$E$28</f>
        <v>0.0023074891581277897</v>
      </c>
    </row>
    <row r="15" spans="1:45" ht="13.5" thickBot="1">
      <c r="A15" s="123"/>
      <c r="B15" s="245"/>
      <c r="C15" s="245"/>
      <c r="D15" s="245"/>
      <c r="E15" s="245"/>
      <c r="F15" s="245"/>
      <c r="G15" s="245"/>
      <c r="AN15" s="245"/>
      <c r="AO15" s="245"/>
      <c r="AP15" s="245"/>
      <c r="AQ15" s="245"/>
      <c r="AR15" s="245"/>
      <c r="AS15" s="245"/>
    </row>
    <row r="16" spans="1:45" ht="15.75" thickBot="1">
      <c r="A16" s="144" t="str">
        <f>HighRisk_Age!C17</f>
        <v>65+ Years</v>
      </c>
      <c r="B16" s="329">
        <f>'data entry'!$C$29</f>
        <v>0.0024974803484200826</v>
      </c>
      <c r="C16" s="245"/>
      <c r="D16" s="387">
        <f>'data entry'!$D$29</f>
        <v>0.003023703004791726</v>
      </c>
      <c r="E16" s="388"/>
      <c r="F16" s="245"/>
      <c r="G16" s="329">
        <f>'data entry'!$E$29</f>
        <v>0.003397980093119174</v>
      </c>
      <c r="AN16" s="329">
        <f>'data entry'!$C$29</f>
        <v>0.0024974803484200826</v>
      </c>
      <c r="AO16" s="245"/>
      <c r="AP16" s="387">
        <f>'data entry'!$D$29</f>
        <v>0.003023703004791726</v>
      </c>
      <c r="AQ16" s="388"/>
      <c r="AR16" s="245"/>
      <c r="AS16" s="329">
        <f>'data entry'!$E$29</f>
        <v>0.003397980093119174</v>
      </c>
    </row>
    <row r="17" spans="1:45" ht="3" customHeight="1">
      <c r="A17" s="123"/>
      <c r="B17" s="246"/>
      <c r="C17" s="246"/>
      <c r="D17" s="246"/>
      <c r="E17" s="246"/>
      <c r="F17" s="246"/>
      <c r="G17" s="246"/>
      <c r="AN17" s="246"/>
      <c r="AO17" s="246"/>
      <c r="AP17" s="246"/>
      <c r="AQ17" s="246"/>
      <c r="AR17" s="246"/>
      <c r="AS17" s="246"/>
    </row>
    <row r="18" spans="1:45" ht="3" customHeight="1">
      <c r="A18" s="123"/>
      <c r="B18" s="246"/>
      <c r="C18" s="246"/>
      <c r="D18" s="246"/>
      <c r="E18" s="246"/>
      <c r="F18" s="246"/>
      <c r="G18" s="246"/>
      <c r="AN18" s="246"/>
      <c r="AO18" s="246"/>
      <c r="AP18" s="246"/>
      <c r="AQ18" s="246"/>
      <c r="AR18" s="246"/>
      <c r="AS18" s="246"/>
    </row>
    <row r="19" spans="1:45" ht="15.75">
      <c r="A19" s="9" t="s">
        <v>25</v>
      </c>
      <c r="B19" s="246"/>
      <c r="C19" s="246"/>
      <c r="D19" s="246"/>
      <c r="E19" s="246"/>
      <c r="F19" s="246"/>
      <c r="G19" s="246"/>
      <c r="AN19" s="246"/>
      <c r="AO19" s="246"/>
      <c r="AP19" s="246"/>
      <c r="AQ19" s="246"/>
      <c r="AR19" s="246"/>
      <c r="AS19" s="246"/>
    </row>
    <row r="20" spans="1:45" ht="13.5" thickBot="1">
      <c r="A20" s="123"/>
      <c r="B20" s="246"/>
      <c r="C20" s="246"/>
      <c r="D20" s="246"/>
      <c r="E20" s="246"/>
      <c r="F20" s="246"/>
      <c r="G20" s="246"/>
      <c r="AN20" s="246"/>
      <c r="AO20" s="246"/>
      <c r="AP20" s="246"/>
      <c r="AQ20" s="246"/>
      <c r="AR20" s="246"/>
      <c r="AS20" s="246"/>
    </row>
    <row r="21" spans="1:45" ht="13.5" thickBot="1">
      <c r="A21" s="123" t="str">
        <f>A12</f>
        <v>0-17 Years</v>
      </c>
      <c r="B21" s="330">
        <f>'data entry'!$C$32</f>
        <v>2.6706583779116205E-05</v>
      </c>
      <c r="C21" s="246"/>
      <c r="D21" s="389">
        <f>'data entry'!$D$32</f>
        <v>3.233360801308448E-05</v>
      </c>
      <c r="E21" s="354"/>
      <c r="F21" s="246"/>
      <c r="G21" s="330">
        <f>'data entry'!$E$32</f>
        <v>3.6336404804750124E-05</v>
      </c>
      <c r="AN21" s="330">
        <f>'data entry'!$C$32</f>
        <v>2.6706583779116205E-05</v>
      </c>
      <c r="AO21" s="246"/>
      <c r="AP21" s="389">
        <f>'data entry'!$D$32</f>
        <v>3.233360801308448E-05</v>
      </c>
      <c r="AQ21" s="354"/>
      <c r="AR21" s="246"/>
      <c r="AS21" s="330">
        <f>'data entry'!$E$32</f>
        <v>3.6336404804750124E-05</v>
      </c>
    </row>
    <row r="22" spans="1:45" ht="13.5" thickBot="1">
      <c r="A22" s="123"/>
      <c r="B22" s="246"/>
      <c r="C22" s="246"/>
      <c r="D22" s="246"/>
      <c r="E22" s="246"/>
      <c r="F22" s="246"/>
      <c r="G22" s="246"/>
      <c r="AN22" s="246"/>
      <c r="AO22" s="246"/>
      <c r="AP22" s="246"/>
      <c r="AQ22" s="246"/>
      <c r="AR22" s="246"/>
      <c r="AS22" s="246"/>
    </row>
    <row r="23" spans="1:45" ht="13.5" thickBot="1">
      <c r="A23" s="123" t="str">
        <f>A14</f>
        <v>18-64 Years</v>
      </c>
      <c r="B23" s="330">
        <f>'data entry'!$C$33</f>
        <v>8.42529846276126E-05</v>
      </c>
      <c r="C23" s="246"/>
      <c r="D23" s="389">
        <f>'data entry'!$D$33</f>
        <v>0.000102004900799211</v>
      </c>
      <c r="E23" s="354"/>
      <c r="F23" s="246"/>
      <c r="G23" s="330">
        <f>'data entry'!$E$33</f>
        <v>0.00011463274914801982</v>
      </c>
      <c r="AN23" s="330">
        <f>'data entry'!$C$33</f>
        <v>8.42529846276126E-05</v>
      </c>
      <c r="AO23" s="246"/>
      <c r="AP23" s="389">
        <f>'data entry'!$D$33</f>
        <v>0.000102004900799211</v>
      </c>
      <c r="AQ23" s="354"/>
      <c r="AR23" s="246"/>
      <c r="AS23" s="330">
        <f>'data entry'!$E$33</f>
        <v>0.00011463274914801982</v>
      </c>
    </row>
    <row r="24" spans="1:45" ht="13.5" thickBot="1">
      <c r="A24" s="123"/>
      <c r="B24" s="246"/>
      <c r="C24" s="246"/>
      <c r="D24" s="246"/>
      <c r="E24" s="246"/>
      <c r="F24" s="246"/>
      <c r="G24" s="246"/>
      <c r="AN24" s="246"/>
      <c r="AO24" s="246"/>
      <c r="AP24" s="246"/>
      <c r="AQ24" s="246"/>
      <c r="AR24" s="246"/>
      <c r="AS24" s="246"/>
    </row>
    <row r="25" spans="1:45" ht="13.5" thickBot="1">
      <c r="A25" s="123" t="str">
        <f>A16</f>
        <v>65+ Years</v>
      </c>
      <c r="B25" s="330">
        <f>'data entry'!$C$34</f>
        <v>0.0005667256131479275</v>
      </c>
      <c r="C25" s="246"/>
      <c r="D25" s="389">
        <f>'data entry'!$D$34</f>
        <v>0.0006861355047105217</v>
      </c>
      <c r="E25" s="354"/>
      <c r="F25" s="246"/>
      <c r="G25" s="330">
        <f>'data entry'!$E$34</f>
        <v>0.0007710660678293773</v>
      </c>
      <c r="AN25" s="330">
        <f>'data entry'!$C$34</f>
        <v>0.0005667256131479275</v>
      </c>
      <c r="AO25" s="246"/>
      <c r="AP25" s="389">
        <f>'data entry'!$D$34</f>
        <v>0.0006861355047105217</v>
      </c>
      <c r="AQ25" s="354"/>
      <c r="AR25" s="246"/>
      <c r="AS25" s="330">
        <f>'data entry'!$E$34</f>
        <v>0.0007710660678293773</v>
      </c>
    </row>
    <row r="26" spans="40:45" ht="12.75">
      <c r="AN26" s="323"/>
      <c r="AO26" s="323"/>
      <c r="AP26" s="323"/>
      <c r="AQ26" s="323"/>
      <c r="AR26" s="323"/>
      <c r="AS26" s="323"/>
    </row>
    <row r="27" spans="40:45" ht="12.75">
      <c r="AN27" s="323"/>
      <c r="AO27" s="323"/>
      <c r="AP27" s="323"/>
      <c r="AQ27" s="323"/>
      <c r="AR27" s="323"/>
      <c r="AS27" s="323"/>
    </row>
    <row r="28" spans="5:45" ht="12.75">
      <c r="E28" s="370"/>
      <c r="F28" s="370"/>
      <c r="AN28" s="323"/>
      <c r="AO28" s="323"/>
      <c r="AP28" s="323"/>
      <c r="AQ28" s="323"/>
      <c r="AR28" s="323"/>
      <c r="AS28" s="323"/>
    </row>
    <row r="29" spans="40:45" ht="18">
      <c r="AN29" s="323"/>
      <c r="AO29" s="356" t="s">
        <v>304</v>
      </c>
      <c r="AP29" s="357"/>
      <c r="AQ29" s="357"/>
      <c r="AR29" s="357"/>
      <c r="AS29" s="357"/>
    </row>
    <row r="30" spans="40:45" ht="12.75">
      <c r="AN30" s="324"/>
      <c r="AO30" s="324"/>
      <c r="AP30" s="324"/>
      <c r="AQ30" s="324"/>
      <c r="AR30" s="324"/>
      <c r="AS30" s="324"/>
    </row>
    <row r="31" spans="40:45" ht="12.75">
      <c r="AN31" s="323"/>
      <c r="AO31" s="323"/>
      <c r="AP31" s="323"/>
      <c r="AQ31" s="323"/>
      <c r="AR31" s="323"/>
      <c r="AS31" s="323"/>
    </row>
    <row r="32" spans="40:45" ht="15.75">
      <c r="AN32" s="323"/>
      <c r="AO32" s="323"/>
      <c r="AP32" s="347" t="s">
        <v>21</v>
      </c>
      <c r="AQ32" s="347"/>
      <c r="AR32" s="325"/>
      <c r="AS32" s="323"/>
    </row>
    <row r="33" spans="40:45" ht="15.75">
      <c r="AN33" s="326" t="s">
        <v>20</v>
      </c>
      <c r="AO33" s="327"/>
      <c r="AP33" s="348" t="s">
        <v>23</v>
      </c>
      <c r="AQ33" s="348"/>
      <c r="AR33" s="328"/>
      <c r="AS33" s="326" t="s">
        <v>24</v>
      </c>
    </row>
    <row r="34" spans="40:45" ht="16.5" thickBot="1">
      <c r="AN34" s="327"/>
      <c r="AO34" s="327"/>
      <c r="AP34" s="328"/>
      <c r="AQ34" s="328"/>
      <c r="AR34" s="328"/>
      <c r="AS34" s="327"/>
    </row>
    <row r="35" spans="40:45" ht="13.5" thickBot="1">
      <c r="AN35" s="329">
        <f>'deaths (3)'!$S$15</f>
        <v>0.00010179300389618557</v>
      </c>
      <c r="AO35" s="243"/>
      <c r="AP35" s="387">
        <f>'deaths (3)'!$T$15</f>
        <v>0.00019076145929814695</v>
      </c>
      <c r="AQ35" s="388"/>
      <c r="AR35" s="244"/>
      <c r="AS35" s="329">
        <f>'deaths (3)'!$U$15</f>
        <v>0.00031803046045041013</v>
      </c>
    </row>
    <row r="36" spans="40:45" ht="13.5" thickBot="1">
      <c r="AN36" s="245"/>
      <c r="AO36" s="245"/>
      <c r="AP36" s="245"/>
      <c r="AQ36" s="245"/>
      <c r="AR36" s="245"/>
      <c r="AS36" s="245"/>
    </row>
    <row r="37" spans="40:45" ht="13.5" thickBot="1">
      <c r="AN37" s="329">
        <f>'deaths (3)'!$S$16</f>
        <v>0.0004962560626365819</v>
      </c>
      <c r="AO37" s="245"/>
      <c r="AP37" s="387">
        <f>'deaths (3)'!$T$16</f>
        <v>0.0009299903526254193</v>
      </c>
      <c r="AQ37" s="388"/>
      <c r="AR37" s="245"/>
      <c r="AS37" s="329">
        <f>'deaths (3)'!$U$16</f>
        <v>0.0015504451583783164</v>
      </c>
    </row>
    <row r="38" spans="40:45" ht="13.5" thickBot="1">
      <c r="AN38" s="245"/>
      <c r="AO38" s="245"/>
      <c r="AP38" s="245"/>
      <c r="AQ38" s="245"/>
      <c r="AR38" s="245"/>
      <c r="AS38" s="245"/>
    </row>
    <row r="39" spans="40:45" ht="13.5" thickBot="1">
      <c r="AN39" s="329">
        <f>'deaths (3)'!$S$17</f>
        <v>0.0006443222531339208</v>
      </c>
      <c r="AO39" s="245"/>
      <c r="AP39" s="387">
        <f>'deaths (3)'!$T$17</f>
        <v>0.0012074719685610052</v>
      </c>
      <c r="AQ39" s="388"/>
      <c r="AR39" s="245"/>
      <c r="AS39" s="329">
        <f>'deaths (3)'!$U$17</f>
        <v>0.0020130244597280837</v>
      </c>
    </row>
    <row r="40" spans="40:45" ht="12.75">
      <c r="AN40" s="246"/>
      <c r="AO40" s="246"/>
      <c r="AP40" s="246"/>
      <c r="AQ40" s="246"/>
      <c r="AR40" s="246"/>
      <c r="AS40" s="246"/>
    </row>
    <row r="41" spans="40:45" ht="12.75">
      <c r="AN41" s="246"/>
      <c r="AO41" s="246"/>
      <c r="AP41" s="246"/>
      <c r="AQ41" s="246"/>
      <c r="AR41" s="246"/>
      <c r="AS41" s="246"/>
    </row>
    <row r="42" spans="40:45" ht="12.75">
      <c r="AN42" s="246"/>
      <c r="AO42" s="246"/>
      <c r="AP42" s="246"/>
      <c r="AQ42" s="246"/>
      <c r="AR42" s="246"/>
      <c r="AS42" s="246"/>
    </row>
    <row r="43" spans="40:45" ht="13.5" thickBot="1">
      <c r="AN43" s="246"/>
      <c r="AO43" s="246"/>
      <c r="AP43" s="246"/>
      <c r="AQ43" s="246"/>
      <c r="AR43" s="246"/>
      <c r="AS43" s="246"/>
    </row>
    <row r="44" spans="40:45" ht="13.5" thickBot="1">
      <c r="AN44" s="330">
        <f>'deaths (3)'!$S$26</f>
        <v>6.832003308820471E-06</v>
      </c>
      <c r="AO44" s="246"/>
      <c r="AP44" s="389">
        <f>'deaths (3)'!$T$26</f>
        <v>1.280326615028991E-05</v>
      </c>
      <c r="AQ44" s="354"/>
      <c r="AR44" s="246"/>
      <c r="AS44" s="330">
        <f>'deaths (3)'!$U$26</f>
        <v>2.1345132523241312E-05</v>
      </c>
    </row>
    <row r="45" spans="40:45" ht="13.5" thickBot="1">
      <c r="AN45" s="246"/>
      <c r="AO45" s="246"/>
      <c r="AP45" s="246"/>
      <c r="AQ45" s="246"/>
      <c r="AR45" s="246"/>
      <c r="AS45" s="246"/>
    </row>
    <row r="46" spans="40:45" ht="13.5" thickBot="1">
      <c r="AN46" s="330">
        <f>'deaths (3)'!$S$27</f>
        <v>2.4653288853395727E-05</v>
      </c>
      <c r="AO46" s="246"/>
      <c r="AP46" s="389">
        <f>'deaths (3)'!$T$27</f>
        <v>4.62005857869709E-05</v>
      </c>
      <c r="AQ46" s="354"/>
      <c r="AR46" s="246"/>
      <c r="AS46" s="330">
        <f>'deaths (3)'!$U$27</f>
        <v>7.702388992039657E-05</v>
      </c>
    </row>
    <row r="47" spans="40:45" ht="13.5" thickBot="1">
      <c r="AN47" s="246"/>
      <c r="AO47" s="246"/>
      <c r="AP47" s="246"/>
      <c r="AQ47" s="246"/>
      <c r="AR47" s="246"/>
      <c r="AS47" s="246"/>
    </row>
    <row r="48" spans="40:45" ht="13.5" thickBot="1">
      <c r="AN48" s="330">
        <f>'deaths (3)'!$S$28</f>
        <v>0.00014620892781125328</v>
      </c>
      <c r="AO48" s="246"/>
      <c r="AP48" s="389">
        <f>'deaths (3)'!$T$28</f>
        <v>0.00027399826876498365</v>
      </c>
      <c r="AQ48" s="354"/>
      <c r="AR48" s="246"/>
      <c r="AS48" s="330">
        <f>'deaths (3)'!$U$28</f>
        <v>0.0004567933925657793</v>
      </c>
    </row>
  </sheetData>
  <sheetProtection/>
  <mergeCells count="28">
    <mergeCell ref="AP48:AQ48"/>
    <mergeCell ref="AP37:AQ37"/>
    <mergeCell ref="AP39:AQ39"/>
    <mergeCell ref="AP44:AQ44"/>
    <mergeCell ref="AP46:AQ46"/>
    <mergeCell ref="AO29:AS29"/>
    <mergeCell ref="AP32:AQ32"/>
    <mergeCell ref="AP33:AQ33"/>
    <mergeCell ref="AP35:AQ35"/>
    <mergeCell ref="AP25:AQ25"/>
    <mergeCell ref="AO6:AS6"/>
    <mergeCell ref="AP14:AQ14"/>
    <mergeCell ref="AP16:AQ16"/>
    <mergeCell ref="AP21:AQ21"/>
    <mergeCell ref="AP23:AQ23"/>
    <mergeCell ref="AP9:AQ9"/>
    <mergeCell ref="AP10:AQ10"/>
    <mergeCell ref="AP12:AQ12"/>
    <mergeCell ref="D6:F6"/>
    <mergeCell ref="D14:E14"/>
    <mergeCell ref="D16:E16"/>
    <mergeCell ref="D21:E21"/>
    <mergeCell ref="E28:F28"/>
    <mergeCell ref="D9:E9"/>
    <mergeCell ref="D10:E10"/>
    <mergeCell ref="D12:E12"/>
    <mergeCell ref="D23:E23"/>
    <mergeCell ref="D25:E25"/>
  </mergeCells>
  <printOptions/>
  <pageMargins left="0.75" right="0.75" top="1" bottom="1" header="0.5" footer="0.5"/>
  <pageSetup fitToHeight="1" fitToWidth="1" horizontalDpi="600" verticalDpi="600" orientation="landscape" scale="78" r:id="rId3"/>
  <drawing r:id="rId2"/>
  <legacyDrawing r:id="rId1"/>
</worksheet>
</file>

<file path=xl/worksheets/sheet9.xml><?xml version="1.0" encoding="utf-8"?>
<worksheet xmlns="http://schemas.openxmlformats.org/spreadsheetml/2006/main" xmlns:r="http://schemas.openxmlformats.org/officeDocument/2006/relationships">
  <sheetPr codeName="Sheet6">
    <tabColor indexed="51"/>
    <pageSetUpPr fitToPage="1"/>
  </sheetPr>
  <dimension ref="A5:AR22"/>
  <sheetViews>
    <sheetView showRowColHeaders="0" zoomScalePageLayoutView="0" workbookViewId="0" topLeftCell="A1">
      <selection activeCell="D12" sqref="D12"/>
    </sheetView>
  </sheetViews>
  <sheetFormatPr defaultColWidth="9.140625" defaultRowHeight="12.75"/>
  <cols>
    <col min="1" max="1" width="9.140625" style="5" customWidth="1"/>
    <col min="2" max="2" width="11.421875" style="5" customWidth="1"/>
    <col min="3" max="3" width="7.00390625" style="5" customWidth="1"/>
    <col min="4" max="4" width="9.140625" style="5" customWidth="1"/>
    <col min="5" max="5" width="3.00390625" style="5" customWidth="1"/>
    <col min="6" max="6" width="9.140625" style="5" customWidth="1"/>
    <col min="7" max="7" width="3.7109375" style="5" customWidth="1"/>
    <col min="8" max="9" width="9.140625" style="5" customWidth="1"/>
    <col min="10" max="10" width="9.8515625" style="5" customWidth="1"/>
    <col min="11" max="11" width="3.7109375" style="5" customWidth="1"/>
    <col min="12" max="12" width="9.140625" style="5" customWidth="1"/>
    <col min="13" max="13" width="4.140625" style="5" customWidth="1"/>
    <col min="14" max="16384" width="9.140625" style="5" customWidth="1"/>
  </cols>
  <sheetData>
    <row r="1" s="1" customFormat="1" ht="12.75"/>
    <row r="2" s="1" customFormat="1" ht="12.75"/>
    <row r="3" s="1" customFormat="1" ht="12.75"/>
    <row r="4" s="1" customFormat="1" ht="12.75"/>
    <row r="5" spans="4:44" ht="24.75" customHeight="1">
      <c r="D5" s="379" t="s">
        <v>27</v>
      </c>
      <c r="E5" s="379"/>
      <c r="F5" s="379"/>
      <c r="G5" s="379"/>
      <c r="H5" s="379"/>
      <c r="AN5" s="379" t="s">
        <v>92</v>
      </c>
      <c r="AO5" s="379"/>
      <c r="AP5" s="379"/>
      <c r="AQ5" s="379"/>
      <c r="AR5" s="379"/>
    </row>
    <row r="6" ht="3" customHeight="1"/>
    <row r="7" spans="2:10" ht="15.75">
      <c r="B7" s="349"/>
      <c r="C7" s="349"/>
      <c r="D7" s="349"/>
      <c r="E7" s="349"/>
      <c r="F7" s="349"/>
      <c r="G7" s="349"/>
      <c r="H7" s="349"/>
      <c r="I7" s="349"/>
      <c r="J7" s="349"/>
    </row>
    <row r="8" ht="2.25" customHeight="1"/>
    <row r="9" ht="4.5" customHeight="1"/>
    <row r="10" spans="4:44" ht="15.75">
      <c r="D10" s="9" t="s">
        <v>29</v>
      </c>
      <c r="F10" s="9" t="s">
        <v>224</v>
      </c>
      <c r="H10" s="9" t="s">
        <v>31</v>
      </c>
      <c r="AN10" s="9" t="s">
        <v>29</v>
      </c>
      <c r="AP10" s="9" t="s">
        <v>224</v>
      </c>
      <c r="AR10" s="9" t="s">
        <v>31</v>
      </c>
    </row>
    <row r="11" spans="4:44" ht="8.25" customHeight="1" thickBot="1">
      <c r="D11" s="9"/>
      <c r="F11" s="9"/>
      <c r="H11" s="9"/>
      <c r="AN11" s="9"/>
      <c r="AP11" s="9"/>
      <c r="AR11" s="9"/>
    </row>
    <row r="12" spans="1:44" ht="16.5" thickBot="1">
      <c r="A12" s="9"/>
      <c r="B12" s="9" t="str">
        <f>Outpatients!A12</f>
        <v>0-17 Years</v>
      </c>
      <c r="C12" s="15"/>
      <c r="D12" s="233">
        <f>'data entry'!$C$69</f>
        <v>0.19</v>
      </c>
      <c r="E12" s="6"/>
      <c r="F12" s="233">
        <f>'data entry'!$D$69</f>
        <v>0.3</v>
      </c>
      <c r="G12" s="6"/>
      <c r="H12" s="233">
        <f>'data entry'!$E$69</f>
        <v>0.42</v>
      </c>
      <c r="AN12" s="233">
        <f>'data entry'!$C$69</f>
        <v>0.19</v>
      </c>
      <c r="AO12" s="6"/>
      <c r="AP12" s="233">
        <f>'data entry'!$D$69</f>
        <v>0.3</v>
      </c>
      <c r="AQ12" s="6"/>
      <c r="AR12" s="233">
        <f>'data entry'!$E$69</f>
        <v>0.42</v>
      </c>
    </row>
    <row r="13" spans="1:44" ht="13.5" thickBot="1">
      <c r="A13" s="10"/>
      <c r="B13" s="10"/>
      <c r="D13" s="6"/>
      <c r="E13" s="6"/>
      <c r="F13" s="6"/>
      <c r="G13" s="6"/>
      <c r="H13" s="6"/>
      <c r="AN13" s="6"/>
      <c r="AO13" s="6"/>
      <c r="AP13" s="6"/>
      <c r="AQ13" s="6"/>
      <c r="AR13" s="6"/>
    </row>
    <row r="14" spans="1:44" ht="16.5" thickBot="1">
      <c r="A14" s="9"/>
      <c r="B14" s="9" t="str">
        <f>Outpatients!A14</f>
        <v>18-64 Years</v>
      </c>
      <c r="C14" s="15"/>
      <c r="D14" s="233">
        <f>'data entry'!$C$70</f>
        <v>0.07</v>
      </c>
      <c r="E14" s="6"/>
      <c r="F14" s="233">
        <f>'data entry'!$D$70</f>
        <v>0.1</v>
      </c>
      <c r="G14" s="6"/>
      <c r="H14" s="233">
        <f>'data entry'!$E$70</f>
        <v>0.13</v>
      </c>
      <c r="AN14" s="233">
        <f>'data entry'!$C$70</f>
        <v>0.07</v>
      </c>
      <c r="AO14" s="6"/>
      <c r="AP14" s="233">
        <f>'data entry'!$D$70</f>
        <v>0.1</v>
      </c>
      <c r="AQ14" s="6"/>
      <c r="AR14" s="233">
        <f>'data entry'!$E$70</f>
        <v>0.13</v>
      </c>
    </row>
    <row r="15" spans="1:44" ht="13.5" thickBot="1">
      <c r="A15" s="10"/>
      <c r="B15" s="10"/>
      <c r="D15" s="6"/>
      <c r="E15" s="6"/>
      <c r="F15" s="6"/>
      <c r="G15" s="6"/>
      <c r="H15" s="6"/>
      <c r="AN15" s="6"/>
      <c r="AO15" s="6"/>
      <c r="AP15" s="6"/>
      <c r="AQ15" s="6"/>
      <c r="AR15" s="6"/>
    </row>
    <row r="16" spans="1:44" ht="16.5" thickBot="1">
      <c r="A16" s="9"/>
      <c r="B16" s="9" t="str">
        <f>Outpatients!A16</f>
        <v>65+ Years</v>
      </c>
      <c r="C16" s="15"/>
      <c r="D16" s="233">
        <f>'data entry'!$C$71</f>
        <v>0.02</v>
      </c>
      <c r="E16" s="6"/>
      <c r="F16" s="233">
        <f>'data entry'!$D$71</f>
        <v>0.04</v>
      </c>
      <c r="G16" s="6"/>
      <c r="H16" s="233">
        <f>'data entry'!$E$71</f>
        <v>0.06</v>
      </c>
      <c r="AN16" s="233">
        <f>'data entry'!$C$71</f>
        <v>0.02</v>
      </c>
      <c r="AO16" s="6"/>
      <c r="AP16" s="233">
        <f>'data entry'!$D$71</f>
        <v>0.04</v>
      </c>
      <c r="AQ16" s="6"/>
      <c r="AR16" s="233">
        <f>'data entry'!$E$71</f>
        <v>0.06</v>
      </c>
    </row>
    <row r="17" spans="1:44" ht="13.5" thickBot="1">
      <c r="A17" s="10"/>
      <c r="B17" s="118"/>
      <c r="C17" s="119"/>
      <c r="D17" s="120"/>
      <c r="E17" s="120"/>
      <c r="F17" s="120"/>
      <c r="G17" s="120"/>
      <c r="H17" s="120"/>
      <c r="AN17" s="120"/>
      <c r="AO17" s="120"/>
      <c r="AP17" s="120"/>
      <c r="AQ17" s="120"/>
      <c r="AR17" s="120"/>
    </row>
    <row r="18" spans="2:44" ht="16.5" thickBot="1">
      <c r="B18" s="9" t="s">
        <v>120</v>
      </c>
      <c r="C18" s="15"/>
      <c r="D18" s="336">
        <f>IF('data entry'!Q73=0,"",'data entry'!Q73)</f>
        <v>0.09622288942155326</v>
      </c>
      <c r="E18" s="6"/>
      <c r="F18" s="336">
        <f>IF('data entry'!R73=0,"",'data entry'!R73)</f>
        <v>0.14668765087743094</v>
      </c>
      <c r="G18" s="337"/>
      <c r="H18" s="336">
        <f>IF('data entry'!S73=0,"",'data entry'!S73)</f>
        <v>0.1998703022568027</v>
      </c>
      <c r="AN18" s="124">
        <f>'data entry'!$C$73</f>
        <v>0.09622288942155326</v>
      </c>
      <c r="AO18" s="6"/>
      <c r="AP18" s="124">
        <f>'data entry'!$D$73</f>
        <v>0.14668765087743094</v>
      </c>
      <c r="AQ18" s="6"/>
      <c r="AR18" s="124">
        <f>'data entry'!$E$73</f>
        <v>0.1998703022568027</v>
      </c>
    </row>
    <row r="22" spans="5:6" ht="12.75">
      <c r="E22" s="370"/>
      <c r="F22" s="370"/>
    </row>
  </sheetData>
  <sheetProtection/>
  <mergeCells count="4">
    <mergeCell ref="B7:J7"/>
    <mergeCell ref="E22:F22"/>
    <mergeCell ref="D5:H5"/>
    <mergeCell ref="AN5:AR5"/>
  </mergeCells>
  <printOptions/>
  <pageMargins left="0.75" right="0.75" top="1" bottom="1" header="0.5" footer="0.5"/>
  <pageSetup fitToHeight="1" fitToWidth="1" horizontalDpi="600" verticalDpi="600" orientation="landscape" scale="9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gyq5</dc:creator>
  <cp:keywords/>
  <dc:description/>
  <cp:lastModifiedBy>gyq5</cp:lastModifiedBy>
  <cp:lastPrinted>2009-10-05T23:05:21Z</cp:lastPrinted>
  <dcterms:created xsi:type="dcterms:W3CDTF">2009-08-25T13:30:26Z</dcterms:created>
  <dcterms:modified xsi:type="dcterms:W3CDTF">2009-12-18T21:31:00Z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